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_werder\Desktop\Moje dokumenty\Informacje za I półrocze\Informacja za I półrocze2022\"/>
    </mc:Choice>
  </mc:AlternateContent>
  <xr:revisionPtr revIDLastSave="0" documentId="13_ncr:1_{C5F60BD7-0631-4F72-9868-39C5ADBC26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c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7" i="1" l="1"/>
  <c r="J178" i="1"/>
  <c r="K23" i="1"/>
  <c r="K22" i="1" s="1"/>
  <c r="I485" i="1"/>
  <c r="I10" i="1"/>
  <c r="G10" i="1"/>
  <c r="I472" i="1"/>
  <c r="G472" i="1"/>
  <c r="K474" i="1"/>
  <c r="K471" i="1" s="1"/>
  <c r="I474" i="1"/>
  <c r="G474" i="1"/>
  <c r="J480" i="1"/>
  <c r="J479" i="1"/>
  <c r="I461" i="1"/>
  <c r="G461" i="1"/>
  <c r="J466" i="1"/>
  <c r="I457" i="1"/>
  <c r="G457" i="1"/>
  <c r="I455" i="1"/>
  <c r="G455" i="1"/>
  <c r="K415" i="1"/>
  <c r="I445" i="1"/>
  <c r="G445" i="1"/>
  <c r="G439" i="1"/>
  <c r="H433" i="1"/>
  <c r="I433" i="1"/>
  <c r="G433" i="1"/>
  <c r="I450" i="1"/>
  <c r="G450" i="1"/>
  <c r="J451" i="1"/>
  <c r="I439" i="1"/>
  <c r="K439" i="1"/>
  <c r="J444" i="1"/>
  <c r="J436" i="1"/>
  <c r="J435" i="1"/>
  <c r="J437" i="1"/>
  <c r="I428" i="1"/>
  <c r="G428" i="1"/>
  <c r="J432" i="1"/>
  <c r="J430" i="1"/>
  <c r="I415" i="1"/>
  <c r="G415" i="1"/>
  <c r="J425" i="1"/>
  <c r="J419" i="1"/>
  <c r="K411" i="1"/>
  <c r="I411" i="1"/>
  <c r="G411" i="1"/>
  <c r="H407" i="1"/>
  <c r="I407" i="1"/>
  <c r="G407" i="1"/>
  <c r="J408" i="1"/>
  <c r="J409" i="1"/>
  <c r="I387" i="1"/>
  <c r="G387" i="1"/>
  <c r="I385" i="1"/>
  <c r="G385" i="1"/>
  <c r="I383" i="1"/>
  <c r="G383" i="1"/>
  <c r="I374" i="1"/>
  <c r="G374" i="1"/>
  <c r="H372" i="1"/>
  <c r="I372" i="1"/>
  <c r="G372" i="1"/>
  <c r="H360" i="1"/>
  <c r="I360" i="1"/>
  <c r="G360" i="1"/>
  <c r="J371" i="1"/>
  <c r="J366" i="1"/>
  <c r="H350" i="1"/>
  <c r="I350" i="1"/>
  <c r="G350" i="1"/>
  <c r="I346" i="1"/>
  <c r="I345" i="1" s="1"/>
  <c r="G346" i="1"/>
  <c r="G345" i="1" s="1"/>
  <c r="I342" i="1"/>
  <c r="I341" i="1" s="1"/>
  <c r="G342" i="1"/>
  <c r="G341" i="1" s="1"/>
  <c r="J344" i="1"/>
  <c r="J343" i="1"/>
  <c r="K334" i="1"/>
  <c r="I334" i="1"/>
  <c r="G334" i="1"/>
  <c r="J340" i="1"/>
  <c r="J339" i="1"/>
  <c r="J338" i="1"/>
  <c r="J337" i="1"/>
  <c r="J336" i="1"/>
  <c r="J335" i="1"/>
  <c r="K332" i="1"/>
  <c r="H332" i="1"/>
  <c r="I332" i="1"/>
  <c r="G332" i="1"/>
  <c r="I324" i="1"/>
  <c r="G324" i="1"/>
  <c r="J327" i="1"/>
  <c r="J326" i="1"/>
  <c r="J325" i="1"/>
  <c r="I300" i="1"/>
  <c r="G300" i="1"/>
  <c r="I298" i="1"/>
  <c r="G298" i="1"/>
  <c r="I295" i="1"/>
  <c r="G295" i="1"/>
  <c r="I289" i="1"/>
  <c r="G289" i="1"/>
  <c r="G276" i="1"/>
  <c r="I276" i="1"/>
  <c r="J283" i="1"/>
  <c r="J281" i="1"/>
  <c r="I272" i="1"/>
  <c r="G272" i="1"/>
  <c r="J271" i="1"/>
  <c r="K270" i="1"/>
  <c r="H270" i="1"/>
  <c r="I270" i="1"/>
  <c r="G270" i="1"/>
  <c r="K260" i="1"/>
  <c r="J268" i="1"/>
  <c r="J266" i="1"/>
  <c r="J265" i="1"/>
  <c r="J264" i="1"/>
  <c r="J263" i="1"/>
  <c r="H260" i="1"/>
  <c r="I260" i="1"/>
  <c r="G260" i="1"/>
  <c r="I247" i="1"/>
  <c r="G247" i="1"/>
  <c r="G237" i="1"/>
  <c r="I237" i="1"/>
  <c r="J244" i="1"/>
  <c r="J243" i="1"/>
  <c r="J240" i="1"/>
  <c r="H226" i="1"/>
  <c r="I226" i="1"/>
  <c r="G226" i="1"/>
  <c r="J236" i="1"/>
  <c r="J231" i="1"/>
  <c r="G211" i="1"/>
  <c r="I211" i="1"/>
  <c r="K189" i="1"/>
  <c r="H189" i="1"/>
  <c r="I189" i="1"/>
  <c r="G189" i="1"/>
  <c r="J210" i="1"/>
  <c r="J209" i="1"/>
  <c r="K179" i="1"/>
  <c r="H179" i="1"/>
  <c r="I179" i="1"/>
  <c r="G179" i="1"/>
  <c r="J188" i="1"/>
  <c r="K155" i="1"/>
  <c r="I155" i="1"/>
  <c r="G155" i="1"/>
  <c r="J176" i="1"/>
  <c r="J165" i="1"/>
  <c r="J161" i="1"/>
  <c r="K144" i="1"/>
  <c r="I145" i="1"/>
  <c r="I144" i="1" s="1"/>
  <c r="G145" i="1"/>
  <c r="G144" i="1" s="1"/>
  <c r="J146" i="1"/>
  <c r="H141" i="1"/>
  <c r="I141" i="1"/>
  <c r="G141" i="1"/>
  <c r="J142" i="1"/>
  <c r="I126" i="1"/>
  <c r="G126" i="1"/>
  <c r="J130" i="1"/>
  <c r="J127" i="1"/>
  <c r="K120" i="1"/>
  <c r="I66" i="1"/>
  <c r="G66" i="1"/>
  <c r="J91" i="1"/>
  <c r="J89" i="1"/>
  <c r="J84" i="1"/>
  <c r="J81" i="1"/>
  <c r="J77" i="1"/>
  <c r="I61" i="1"/>
  <c r="K61" i="1"/>
  <c r="H49" i="1"/>
  <c r="I49" i="1"/>
  <c r="G49" i="1"/>
  <c r="I47" i="1"/>
  <c r="G47" i="1"/>
  <c r="H34" i="1"/>
  <c r="I34" i="1"/>
  <c r="G34" i="1"/>
  <c r="J41" i="1"/>
  <c r="K34" i="1"/>
  <c r="K26" i="1" s="1"/>
  <c r="J28" i="1"/>
  <c r="H27" i="1"/>
  <c r="I27" i="1"/>
  <c r="G27" i="1"/>
  <c r="H23" i="1"/>
  <c r="I23" i="1"/>
  <c r="I22" i="1" s="1"/>
  <c r="G23" i="1"/>
  <c r="G22" i="1" s="1"/>
  <c r="J25" i="1"/>
  <c r="J24" i="1"/>
  <c r="H14" i="1"/>
  <c r="I14" i="1"/>
  <c r="G14" i="1"/>
  <c r="J21" i="1"/>
  <c r="H12" i="1"/>
  <c r="I12" i="1"/>
  <c r="G12" i="1"/>
  <c r="J13" i="1"/>
  <c r="J476" i="1"/>
  <c r="J475" i="1"/>
  <c r="J446" i="1"/>
  <c r="K445" i="1"/>
  <c r="I389" i="1"/>
  <c r="G389" i="1"/>
  <c r="J403" i="1"/>
  <c r="J402" i="1"/>
  <c r="K433" i="1"/>
  <c r="K126" i="1"/>
  <c r="K66" i="1"/>
  <c r="K43" i="1"/>
  <c r="K42" i="1" s="1"/>
  <c r="K237" i="1"/>
  <c r="I471" i="1" l="1"/>
  <c r="G471" i="1"/>
  <c r="J445" i="1"/>
  <c r="G349" i="1"/>
  <c r="I349" i="1"/>
  <c r="H349" i="1"/>
  <c r="J407" i="1"/>
  <c r="J341" i="1"/>
  <c r="J342" i="1"/>
  <c r="G269" i="1"/>
  <c r="I269" i="1"/>
  <c r="J270" i="1"/>
  <c r="J144" i="1"/>
  <c r="J145" i="1"/>
  <c r="G46" i="1"/>
  <c r="J27" i="1"/>
  <c r="J23" i="1"/>
  <c r="J22" i="1"/>
  <c r="G7" i="1"/>
  <c r="I7" i="1"/>
  <c r="H7" i="1"/>
  <c r="J12" i="1"/>
  <c r="J474" i="1"/>
  <c r="J468" i="1"/>
  <c r="J463" i="1"/>
  <c r="H447" i="1"/>
  <c r="I447" i="1"/>
  <c r="I410" i="1" s="1"/>
  <c r="G447" i="1"/>
  <c r="J443" i="1"/>
  <c r="J434" i="1"/>
  <c r="J429" i="1"/>
  <c r="J424" i="1"/>
  <c r="J414" i="1"/>
  <c r="J412" i="1"/>
  <c r="J406" i="1"/>
  <c r="J405" i="1"/>
  <c r="J404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K389" i="1"/>
  <c r="J331" i="1"/>
  <c r="G306" i="1"/>
  <c r="I306" i="1"/>
  <c r="J323" i="1"/>
  <c r="I291" i="1"/>
  <c r="H247" i="1"/>
  <c r="J256" i="1"/>
  <c r="J245" i="1"/>
  <c r="J246" i="1"/>
  <c r="J235" i="1"/>
  <c r="H211" i="1"/>
  <c r="J218" i="1"/>
  <c r="J208" i="1"/>
  <c r="J198" i="1"/>
  <c r="J196" i="1"/>
  <c r="J187" i="1"/>
  <c r="J172" i="1"/>
  <c r="J173" i="1"/>
  <c r="J174" i="1"/>
  <c r="J162" i="1"/>
  <c r="J447" i="1" l="1"/>
  <c r="J389" i="1"/>
  <c r="I152" i="1"/>
  <c r="I151" i="1" s="1"/>
  <c r="G152" i="1"/>
  <c r="G151" i="1" s="1"/>
  <c r="I149" i="1"/>
  <c r="I148" i="1" s="1"/>
  <c r="G149" i="1"/>
  <c r="G148" i="1" s="1"/>
  <c r="J143" i="1"/>
  <c r="H139" i="1"/>
  <c r="I139" i="1"/>
  <c r="G139" i="1"/>
  <c r="I113" i="1"/>
  <c r="G113" i="1"/>
  <c r="J118" i="1"/>
  <c r="H95" i="1"/>
  <c r="I95" i="1"/>
  <c r="G95" i="1"/>
  <c r="J112" i="1"/>
  <c r="J96" i="1"/>
  <c r="J90" i="1"/>
  <c r="G61" i="1"/>
  <c r="J64" i="1"/>
  <c r="J65" i="1"/>
  <c r="I52" i="1"/>
  <c r="G52" i="1"/>
  <c r="I46" i="1"/>
  <c r="J49" i="1"/>
  <c r="J50" i="1"/>
  <c r="I43" i="1"/>
  <c r="G43" i="1"/>
  <c r="J44" i="1"/>
  <c r="H31" i="1" l="1"/>
  <c r="I31" i="1"/>
  <c r="G31" i="1"/>
  <c r="H29" i="1"/>
  <c r="I29" i="1"/>
  <c r="G29" i="1"/>
  <c r="J488" i="1"/>
  <c r="J485" i="1"/>
  <c r="J310" i="1"/>
  <c r="J278" i="1"/>
  <c r="J241" i="1"/>
  <c r="J201" i="1"/>
  <c r="J373" i="1"/>
  <c r="J372" i="1"/>
  <c r="J82" i="1"/>
  <c r="J458" i="1"/>
  <c r="J457" i="1"/>
  <c r="J239" i="1"/>
  <c r="J286" i="1"/>
  <c r="J267" i="1"/>
  <c r="J140" i="1"/>
  <c r="G92" i="1"/>
  <c r="G51" i="1" s="1"/>
  <c r="I453" i="1"/>
  <c r="G453" i="1"/>
  <c r="J470" i="1"/>
  <c r="I302" i="1"/>
  <c r="G302" i="1"/>
  <c r="G288" i="1" s="1"/>
  <c r="G257" i="1"/>
  <c r="I222" i="1"/>
  <c r="I154" i="1" s="1"/>
  <c r="G222" i="1"/>
  <c r="J175" i="1"/>
  <c r="J139" i="1"/>
  <c r="J108" i="1"/>
  <c r="J98" i="1"/>
  <c r="J39" i="1"/>
  <c r="J20" i="1"/>
  <c r="G410" i="1"/>
  <c r="J449" i="1"/>
  <c r="J448" i="1"/>
  <c r="J413" i="1"/>
  <c r="J388" i="1"/>
  <c r="J387" i="1"/>
  <c r="J386" i="1"/>
  <c r="J385" i="1"/>
  <c r="J381" i="1"/>
  <c r="J375" i="1"/>
  <c r="J259" i="1"/>
  <c r="J258" i="1"/>
  <c r="K247" i="1"/>
  <c r="J190" i="1"/>
  <c r="I136" i="1"/>
  <c r="G136" i="1"/>
  <c r="G121" i="1"/>
  <c r="G120" i="1" s="1"/>
  <c r="J119" i="1"/>
  <c r="J116" i="1"/>
  <c r="K95" i="1"/>
  <c r="J99" i="1"/>
  <c r="J100" i="1"/>
  <c r="J101" i="1"/>
  <c r="J102" i="1"/>
  <c r="J103" i="1"/>
  <c r="J104" i="1"/>
  <c r="J105" i="1"/>
  <c r="J106" i="1"/>
  <c r="J107" i="1"/>
  <c r="J109" i="1"/>
  <c r="J111" i="1"/>
  <c r="J97" i="1"/>
  <c r="I92" i="1"/>
  <c r="I51" i="1" s="1"/>
  <c r="J79" i="1"/>
  <c r="J78" i="1"/>
  <c r="K52" i="1"/>
  <c r="J57" i="1"/>
  <c r="J43" i="1"/>
  <c r="J38" i="1"/>
  <c r="J483" i="1"/>
  <c r="J484" i="1"/>
  <c r="K306" i="1"/>
  <c r="K46" i="1"/>
  <c r="J473" i="1"/>
  <c r="J472" i="1"/>
  <c r="J462" i="1"/>
  <c r="J438" i="1"/>
  <c r="J433" i="1"/>
  <c r="J329" i="1"/>
  <c r="J305" i="1"/>
  <c r="J303" i="1"/>
  <c r="J255" i="1"/>
  <c r="J251" i="1"/>
  <c r="J249" i="1"/>
  <c r="J238" i="1"/>
  <c r="J37" i="1"/>
  <c r="J15" i="1"/>
  <c r="J8" i="1"/>
  <c r="J9" i="1"/>
  <c r="J354" i="1"/>
  <c r="J351" i="1"/>
  <c r="K350" i="1"/>
  <c r="J332" i="1"/>
  <c r="J295" i="1"/>
  <c r="J234" i="1"/>
  <c r="J207" i="1"/>
  <c r="J455" i="1"/>
  <c r="J469" i="1"/>
  <c r="J359" i="1"/>
  <c r="J347" i="1"/>
  <c r="K222" i="1"/>
  <c r="K92" i="1"/>
  <c r="K113" i="1"/>
  <c r="J452" i="1"/>
  <c r="K450" i="1"/>
  <c r="J384" i="1"/>
  <c r="J383" i="1"/>
  <c r="J382" i="1"/>
  <c r="J379" i="1"/>
  <c r="J378" i="1"/>
  <c r="J377" i="1"/>
  <c r="J376" i="1"/>
  <c r="K374" i="1"/>
  <c r="J370" i="1"/>
  <c r="J369" i="1"/>
  <c r="J368" i="1"/>
  <c r="J367" i="1"/>
  <c r="J365" i="1"/>
  <c r="J364" i="1"/>
  <c r="J363" i="1"/>
  <c r="J362" i="1"/>
  <c r="J361" i="1"/>
  <c r="K360" i="1"/>
  <c r="J358" i="1"/>
  <c r="J357" i="1"/>
  <c r="J356" i="1"/>
  <c r="J355" i="1"/>
  <c r="J353" i="1"/>
  <c r="J352" i="1"/>
  <c r="J333" i="1"/>
  <c r="J254" i="1"/>
  <c r="J225" i="1"/>
  <c r="J135" i="1"/>
  <c r="J134" i="1"/>
  <c r="J133" i="1"/>
  <c r="J151" i="1"/>
  <c r="J137" i="1"/>
  <c r="J138" i="1"/>
  <c r="J87" i="1"/>
  <c r="J242" i="1"/>
  <c r="J300" i="1"/>
  <c r="J298" i="1"/>
  <c r="K226" i="1"/>
  <c r="K211" i="1"/>
  <c r="J166" i="1"/>
  <c r="K125" i="1"/>
  <c r="J334" i="1"/>
  <c r="J486" i="1"/>
  <c r="I121" i="1"/>
  <c r="I120" i="1" s="1"/>
  <c r="J47" i="1"/>
  <c r="J426" i="1"/>
  <c r="J427" i="1"/>
  <c r="J418" i="1"/>
  <c r="J285" i="1"/>
  <c r="J287" i="1"/>
  <c r="J275" i="1"/>
  <c r="J250" i="1"/>
  <c r="J252" i="1"/>
  <c r="J253" i="1"/>
  <c r="J16" i="1"/>
  <c r="J17" i="1"/>
  <c r="J309" i="1"/>
  <c r="J184" i="1"/>
  <c r="J183" i="1"/>
  <c r="J171" i="1"/>
  <c r="J10" i="1"/>
  <c r="J460" i="1"/>
  <c r="J459" i="1"/>
  <c r="J456" i="1"/>
  <c r="J431" i="1"/>
  <c r="J416" i="1"/>
  <c r="J420" i="1"/>
  <c r="J421" i="1"/>
  <c r="J422" i="1"/>
  <c r="J345" i="1"/>
  <c r="J320" i="1"/>
  <c r="J319" i="1"/>
  <c r="J318" i="1"/>
  <c r="J317" i="1"/>
  <c r="J316" i="1"/>
  <c r="J315" i="1"/>
  <c r="J314" i="1"/>
  <c r="J304" i="1"/>
  <c r="J233" i="1"/>
  <c r="J232" i="1"/>
  <c r="J221" i="1"/>
  <c r="J202" i="1"/>
  <c r="J206" i="1"/>
  <c r="J205" i="1"/>
  <c r="J123" i="1"/>
  <c r="J83" i="1"/>
  <c r="J62" i="1"/>
  <c r="J63" i="1"/>
  <c r="J40" i="1"/>
  <c r="J18" i="1"/>
  <c r="J19" i="1"/>
  <c r="J482" i="1"/>
  <c r="J487" i="1"/>
  <c r="K461" i="1"/>
  <c r="K453" i="1" s="1"/>
  <c r="K324" i="1"/>
  <c r="K276" i="1"/>
  <c r="K269" i="1" s="1"/>
  <c r="K14" i="1"/>
  <c r="K7" i="1" s="1"/>
  <c r="J477" i="1"/>
  <c r="J478" i="1"/>
  <c r="J464" i="1"/>
  <c r="J465" i="1"/>
  <c r="J467" i="1"/>
  <c r="J423" i="1"/>
  <c r="J440" i="1"/>
  <c r="J441" i="1"/>
  <c r="J442" i="1"/>
  <c r="J291" i="1"/>
  <c r="J289" i="1"/>
  <c r="J168" i="1"/>
  <c r="J30" i="1"/>
  <c r="J32" i="1"/>
  <c r="J35" i="1"/>
  <c r="J45" i="1"/>
  <c r="J48" i="1"/>
  <c r="J53" i="1"/>
  <c r="J54" i="1"/>
  <c r="J55" i="1"/>
  <c r="J56" i="1"/>
  <c r="J58" i="1"/>
  <c r="J59" i="1"/>
  <c r="J60" i="1"/>
  <c r="J67" i="1"/>
  <c r="J68" i="1"/>
  <c r="J70" i="1"/>
  <c r="J71" i="1"/>
  <c r="J72" i="1"/>
  <c r="J73" i="1"/>
  <c r="J74" i="1"/>
  <c r="J75" i="1"/>
  <c r="J76" i="1"/>
  <c r="J80" i="1"/>
  <c r="J85" i="1"/>
  <c r="J86" i="1"/>
  <c r="J88" i="1"/>
  <c r="J93" i="1"/>
  <c r="J94" i="1"/>
  <c r="J114" i="1"/>
  <c r="J115" i="1"/>
  <c r="J117" i="1"/>
  <c r="J122" i="1"/>
  <c r="J124" i="1"/>
  <c r="J128" i="1"/>
  <c r="J129" i="1"/>
  <c r="J131" i="1"/>
  <c r="J132" i="1"/>
  <c r="J150" i="1"/>
  <c r="J152" i="1"/>
  <c r="J153" i="1"/>
  <c r="J156" i="1"/>
  <c r="J157" i="1"/>
  <c r="J158" i="1"/>
  <c r="J159" i="1"/>
  <c r="J160" i="1"/>
  <c r="J163" i="1"/>
  <c r="J164" i="1"/>
  <c r="J167" i="1"/>
  <c r="J169" i="1"/>
  <c r="J170" i="1"/>
  <c r="J180" i="1"/>
  <c r="J181" i="1"/>
  <c r="J185" i="1"/>
  <c r="J186" i="1"/>
  <c r="J191" i="1"/>
  <c r="J192" i="1"/>
  <c r="J193" i="1"/>
  <c r="J194" i="1"/>
  <c r="J195" i="1"/>
  <c r="J197" i="1"/>
  <c r="J199" i="1"/>
  <c r="J200" i="1"/>
  <c r="J203" i="1"/>
  <c r="J204" i="1"/>
  <c r="J212" i="1"/>
  <c r="J213" i="1"/>
  <c r="J214" i="1"/>
  <c r="J215" i="1"/>
  <c r="J217" i="1"/>
  <c r="J219" i="1"/>
  <c r="J220" i="1"/>
  <c r="J223" i="1"/>
  <c r="J224" i="1"/>
  <c r="J227" i="1"/>
  <c r="J228" i="1"/>
  <c r="J229" i="1"/>
  <c r="J230" i="1"/>
  <c r="J261" i="1"/>
  <c r="J262" i="1"/>
  <c r="J273" i="1"/>
  <c r="J274" i="1"/>
  <c r="J277" i="1"/>
  <c r="J280" i="1"/>
  <c r="J282" i="1"/>
  <c r="J284" i="1"/>
  <c r="J290" i="1"/>
  <c r="J292" i="1"/>
  <c r="J293" i="1"/>
  <c r="J294" i="1"/>
  <c r="J297" i="1"/>
  <c r="J299" i="1"/>
  <c r="J301" i="1"/>
  <c r="J307" i="1"/>
  <c r="J308" i="1"/>
  <c r="J312" i="1"/>
  <c r="J313" i="1"/>
  <c r="J321" i="1"/>
  <c r="J322" i="1"/>
  <c r="J328" i="1"/>
  <c r="J330" i="1"/>
  <c r="J11" i="1"/>
  <c r="J149" i="1"/>
  <c r="J346" i="1"/>
  <c r="J148" i="1"/>
  <c r="I42" i="1"/>
  <c r="I26" i="1" l="1"/>
  <c r="G26" i="1"/>
  <c r="K410" i="1"/>
  <c r="K349" i="1"/>
  <c r="G154" i="1"/>
  <c r="I125" i="1"/>
  <c r="G125" i="1"/>
  <c r="J29" i="1"/>
  <c r="J31" i="1"/>
  <c r="J14" i="1"/>
  <c r="K154" i="1"/>
  <c r="K51" i="1"/>
  <c r="K288" i="1"/>
  <c r="J247" i="1"/>
  <c r="J136" i="1"/>
  <c r="J428" i="1"/>
  <c r="J461" i="1"/>
  <c r="J189" i="1"/>
  <c r="J237" i="1"/>
  <c r="J61" i="1"/>
  <c r="J46" i="1"/>
  <c r="J66" i="1"/>
  <c r="J95" i="1"/>
  <c r="J276" i="1"/>
  <c r="J350" i="1"/>
  <c r="J179" i="1"/>
  <c r="J211" i="1"/>
  <c r="J415" i="1"/>
  <c r="J306" i="1"/>
  <c r="J439" i="1"/>
  <c r="G42" i="1"/>
  <c r="J42" i="1" s="1"/>
  <c r="J92" i="1"/>
  <c r="J121" i="1"/>
  <c r="I288" i="1"/>
  <c r="J7" i="1"/>
  <c r="J52" i="1"/>
  <c r="J226" i="1"/>
  <c r="J453" i="1"/>
  <c r="J113" i="1"/>
  <c r="J34" i="1"/>
  <c r="J324" i="1"/>
  <c r="J269" i="1"/>
  <c r="J302" i="1"/>
  <c r="J374" i="1"/>
  <c r="J260" i="1"/>
  <c r="J360" i="1"/>
  <c r="J450" i="1"/>
  <c r="J126" i="1"/>
  <c r="J155" i="1"/>
  <c r="J222" i="1"/>
  <c r="J411" i="1"/>
  <c r="J272" i="1"/>
  <c r="J471" i="1"/>
  <c r="G481" i="1" l="1"/>
  <c r="I481" i="1"/>
  <c r="K481" i="1"/>
  <c r="K482" i="1" s="1"/>
  <c r="J26" i="1"/>
  <c r="J288" i="1"/>
  <c r="J120" i="1"/>
  <c r="J125" i="1"/>
  <c r="J349" i="1"/>
  <c r="J154" i="1"/>
  <c r="J51" i="1"/>
  <c r="J410" i="1"/>
  <c r="J481" i="1" l="1"/>
  <c r="J141" i="1"/>
</calcChain>
</file>

<file path=xl/sharedStrings.xml><?xml version="1.0" encoding="utf-8"?>
<sst xmlns="http://schemas.openxmlformats.org/spreadsheetml/2006/main" count="1174" uniqueCount="425">
  <si>
    <t>Dział</t>
  </si>
  <si>
    <t>Rozdział</t>
  </si>
  <si>
    <t>Treść</t>
  </si>
  <si>
    <t>010</t>
  </si>
  <si>
    <t>Rolnictwo i łowiectwo</t>
  </si>
  <si>
    <t>4010</t>
  </si>
  <si>
    <t>Wynagrodzenia osobowe pracowników</t>
  </si>
  <si>
    <t>4040</t>
  </si>
  <si>
    <t>Dodatkowe wynagrodzenie roczne</t>
  </si>
  <si>
    <t>4110</t>
  </si>
  <si>
    <t>Składki na ubezpieczenia społeczne</t>
  </si>
  <si>
    <t>4440</t>
  </si>
  <si>
    <t>Odpisy na zakładowy fundusz świadczeń socjalnych</t>
  </si>
  <si>
    <t>01030</t>
  </si>
  <si>
    <t>Izby rolnicze</t>
  </si>
  <si>
    <t>2850</t>
  </si>
  <si>
    <t>Wpłaty gmin na rzecz izb rolniczych w wysokości 2% uzyskanych wpływów z podatku rolnego</t>
  </si>
  <si>
    <t>6050</t>
  </si>
  <si>
    <t>Wydatki inwestycyjne jednostek budżetowych</t>
  </si>
  <si>
    <t>01095</t>
  </si>
  <si>
    <t>Pozostała działalność</t>
  </si>
  <si>
    <t>4120</t>
  </si>
  <si>
    <t>4170</t>
  </si>
  <si>
    <t>Wynagrodzenia bezosobowe</t>
  </si>
  <si>
    <t>4210</t>
  </si>
  <si>
    <t>Zakup materiałów i wyposażenia</t>
  </si>
  <si>
    <t>4300</t>
  </si>
  <si>
    <t>Zakup usług pozostałych</t>
  </si>
  <si>
    <t>4430</t>
  </si>
  <si>
    <t>Różne opłaty i składki</t>
  </si>
  <si>
    <t>600</t>
  </si>
  <si>
    <t>Transport i łączność</t>
  </si>
  <si>
    <t>60011</t>
  </si>
  <si>
    <t>Drogi publiczne krajowe</t>
  </si>
  <si>
    <t>60014</t>
  </si>
  <si>
    <t>Drogi publiczne powiatowe</t>
  </si>
  <si>
    <t>60016</t>
  </si>
  <si>
    <t>Drogi publiczne gminne</t>
  </si>
  <si>
    <t>700</t>
  </si>
  <si>
    <t>Gospodarka mieszkaniowa</t>
  </si>
  <si>
    <t>70005</t>
  </si>
  <si>
    <t>Gospodarka gruntami i nieruchomościami</t>
  </si>
  <si>
    <t>710</t>
  </si>
  <si>
    <t>Działalność usługowa</t>
  </si>
  <si>
    <t>71004</t>
  </si>
  <si>
    <t>Plany zagospodarowania przestrzennego</t>
  </si>
  <si>
    <t>4270</t>
  </si>
  <si>
    <t>Zakup usług remontowych</t>
  </si>
  <si>
    <t>750</t>
  </si>
  <si>
    <t>Administracja publiczna</t>
  </si>
  <si>
    <t>75011</t>
  </si>
  <si>
    <t>Urzędy wojewódzkie</t>
  </si>
  <si>
    <t>4410</t>
  </si>
  <si>
    <t>Podróże służbowe krajowe</t>
  </si>
  <si>
    <t>4700</t>
  </si>
  <si>
    <t xml:space="preserve">Szkolenia pracowników niebędących członkami korpusu służby cywilnej </t>
  </si>
  <si>
    <t>75022</t>
  </si>
  <si>
    <t>Rady gmin (miast i miast na prawach powiatu)</t>
  </si>
  <si>
    <t>3030</t>
  </si>
  <si>
    <t xml:space="preserve">Różne wydatki na rzecz osób fizycznych </t>
  </si>
  <si>
    <t>75023</t>
  </si>
  <si>
    <t>Urzędy gmin (miast i miast na prawach powiatu)</t>
  </si>
  <si>
    <t>3020</t>
  </si>
  <si>
    <t>Wydatki osobowe niezaliczone do wynagrodzeń</t>
  </si>
  <si>
    <t>4100</t>
  </si>
  <si>
    <t>Wynagrodzenia agencyjno-prowizyjne</t>
  </si>
  <si>
    <t>4140</t>
  </si>
  <si>
    <t>Wpłaty na Państwowy Fundusz Rehabilitacji Osób Niepełnosprawnych</t>
  </si>
  <si>
    <t>4260</t>
  </si>
  <si>
    <t>Zakup energii</t>
  </si>
  <si>
    <t>4280</t>
  </si>
  <si>
    <t>Zakup usług zdrowotnych</t>
  </si>
  <si>
    <t>4360</t>
  </si>
  <si>
    <t>8 000,00</t>
  </si>
  <si>
    <t>75075</t>
  </si>
  <si>
    <t>Promocja jednostek samorządu terytorialnego</t>
  </si>
  <si>
    <t>75095</t>
  </si>
  <si>
    <t>3240</t>
  </si>
  <si>
    <t>Stypendia dla uczniów</t>
  </si>
  <si>
    <t>751</t>
  </si>
  <si>
    <t>Urzędy naczelnych organów władzy państwowej, kontroli i ochrony prawa oraz sądownictwa</t>
  </si>
  <si>
    <t>75101</t>
  </si>
  <si>
    <t>Urzędy naczelnych organów władzy państwowej, kontroli i ochrony prawa</t>
  </si>
  <si>
    <t>754</t>
  </si>
  <si>
    <t>Bezpieczeństwo publiczne i ochrona przeciwpożarowa</t>
  </si>
  <si>
    <t>5 000,00</t>
  </si>
  <si>
    <t>75412</t>
  </si>
  <si>
    <t>Ochotnicze straże pożarne</t>
  </si>
  <si>
    <t>2 000,00</t>
  </si>
  <si>
    <t>757</t>
  </si>
  <si>
    <t>Obsługa długu publicznego</t>
  </si>
  <si>
    <t>75702</t>
  </si>
  <si>
    <t>8110</t>
  </si>
  <si>
    <t>Odsetki od samorządowych papierów wartościowych lub zaciągniętych przez jednostkę samorządu terytorialnego kredytów i pożyczek</t>
  </si>
  <si>
    <t>758</t>
  </si>
  <si>
    <t>Różne rozliczenia</t>
  </si>
  <si>
    <t>75818</t>
  </si>
  <si>
    <t>Rezerwy ogólne i celowe</t>
  </si>
  <si>
    <t>4810</t>
  </si>
  <si>
    <t>Rezerwy</t>
  </si>
  <si>
    <t>801</t>
  </si>
  <si>
    <t>Oświata i wychowanie</t>
  </si>
  <si>
    <t>80101</t>
  </si>
  <si>
    <t>Szkoły podstawowe</t>
  </si>
  <si>
    <t>4580</t>
  </si>
  <si>
    <t>Pozostałe odsetki</t>
  </si>
  <si>
    <t>80103</t>
  </si>
  <si>
    <t>Oddziały przedszkolne w szkołach podstawowych</t>
  </si>
  <si>
    <t>80104</t>
  </si>
  <si>
    <t xml:space="preserve">Przedszkola </t>
  </si>
  <si>
    <t>4220</t>
  </si>
  <si>
    <t>Zakup środków żywności</t>
  </si>
  <si>
    <t>80113</t>
  </si>
  <si>
    <t>Dowożenie uczniów do szkół</t>
  </si>
  <si>
    <t>11 000,00</t>
  </si>
  <si>
    <t>80146</t>
  </si>
  <si>
    <t>Dokształcanie i doskonalenie nauczycieli</t>
  </si>
  <si>
    <t>80148</t>
  </si>
  <si>
    <t>Stołówki szkolne i przedszkolne</t>
  </si>
  <si>
    <t>80195</t>
  </si>
  <si>
    <t>2320</t>
  </si>
  <si>
    <t>851</t>
  </si>
  <si>
    <t>Ochrona zdrowia</t>
  </si>
  <si>
    <t>85153</t>
  </si>
  <si>
    <t>Zwalczanie narkomanii</t>
  </si>
  <si>
    <t>85154</t>
  </si>
  <si>
    <t>Przeciwdziałanie alkoholizmowi</t>
  </si>
  <si>
    <t>1 000,00</t>
  </si>
  <si>
    <t>852</t>
  </si>
  <si>
    <t>Pomoc społeczna</t>
  </si>
  <si>
    <t>85202</t>
  </si>
  <si>
    <t>Domy pomocy społecznej</t>
  </si>
  <si>
    <t>4330</t>
  </si>
  <si>
    <t>Zakup usług przez jednostki samorządu terytorialnego od innych jednostek samorządu terytorialnego</t>
  </si>
  <si>
    <t>Rodziny zastępcze</t>
  </si>
  <si>
    <t>3110</t>
  </si>
  <si>
    <t>Świadczenia społeczne</t>
  </si>
  <si>
    <t>85205</t>
  </si>
  <si>
    <t>Zadania w zakresie przeciwdziałania przemocy w rodzinie</t>
  </si>
  <si>
    <t>500,00</t>
  </si>
  <si>
    <t>Wspieranie rodziny</t>
  </si>
  <si>
    <t>Świadczenia rodzinne, świadczenia z funduszu alimentacyjneego oraz składki na ubezpieczenia emerytalne i rentowe z ubezpieczenia społecznego</t>
  </si>
  <si>
    <t>2910</t>
  </si>
  <si>
    <t>1 500,00</t>
  </si>
  <si>
    <t>4 000,00</t>
  </si>
  <si>
    <t>3 282,00</t>
  </si>
  <si>
    <t>85213</t>
  </si>
  <si>
    <t>4130</t>
  </si>
  <si>
    <t>Składki na ubezpieczenie zdrowotne</t>
  </si>
  <si>
    <t>85214</t>
  </si>
  <si>
    <t>85215</t>
  </si>
  <si>
    <t>Dodatki mieszkaniowe</t>
  </si>
  <si>
    <t>85216</t>
  </si>
  <si>
    <t>Zasiłki stałe</t>
  </si>
  <si>
    <t>85219</t>
  </si>
  <si>
    <t>Ośrodki pomocy społecznej</t>
  </si>
  <si>
    <t>3 000,00</t>
  </si>
  <si>
    <t>15 000,00</t>
  </si>
  <si>
    <t>85228</t>
  </si>
  <si>
    <t>Usługi opiekuńcze i specjalistyczne usługi opiekuńcze</t>
  </si>
  <si>
    <t>85295</t>
  </si>
  <si>
    <t>854</t>
  </si>
  <si>
    <t>Edukacyjna opieka wychowawcza</t>
  </si>
  <si>
    <t>85415</t>
  </si>
  <si>
    <t>900</t>
  </si>
  <si>
    <t>Gospodarka komunalna i ochrona środowiska</t>
  </si>
  <si>
    <t>90001</t>
  </si>
  <si>
    <t>Gospodarka ściekowa i ochrona wód</t>
  </si>
  <si>
    <t>90002</t>
  </si>
  <si>
    <t>90015</t>
  </si>
  <si>
    <t>Oświetlenie ulic, placów i dróg</t>
  </si>
  <si>
    <t>90095</t>
  </si>
  <si>
    <t>2830</t>
  </si>
  <si>
    <t>Dotacja celowa z budżetu na finansowanie lub dofinansowanie zadań zleconych do realizacji pozostałym jednostkom nie zaliczanym do sektora finansów publicznych</t>
  </si>
  <si>
    <t>921</t>
  </si>
  <si>
    <t>Kultura i ochrona dziedzictwa narodowego</t>
  </si>
  <si>
    <t>92109</t>
  </si>
  <si>
    <t>Domy i ośrodki kultury, świetlice i kluby</t>
  </si>
  <si>
    <t>2480</t>
  </si>
  <si>
    <t>Dotacja podmiotowa z budżetu dla samorządowej instytucji kultury</t>
  </si>
  <si>
    <t>92116</t>
  </si>
  <si>
    <t>Biblioteki</t>
  </si>
  <si>
    <t>92120</t>
  </si>
  <si>
    <t>Ochrona zabytków i opieka nad zabytkami</t>
  </si>
  <si>
    <t>20 000,00</t>
  </si>
  <si>
    <t>2720</t>
  </si>
  <si>
    <t>92195</t>
  </si>
  <si>
    <t>2820</t>
  </si>
  <si>
    <t>Dotacja celowa z budżetu na finansowanie lub dofinansowanie zadań zleconych do realizacji stowarzyszeniom</t>
  </si>
  <si>
    <t>10 000,00</t>
  </si>
  <si>
    <t>926</t>
  </si>
  <si>
    <t>Kultura fizyczna</t>
  </si>
  <si>
    <t>92695</t>
  </si>
  <si>
    <t>Wykonanie</t>
  </si>
  <si>
    <t>%</t>
  </si>
  <si>
    <t>Plan po zmianach</t>
  </si>
  <si>
    <t>Zobowiązania według stanu na koniec okresu sprawozdawczego</t>
  </si>
  <si>
    <t>Z WYKONANIA WYDATKÓW BUDŻETU GMINY</t>
  </si>
  <si>
    <t>§</t>
  </si>
  <si>
    <t>1</t>
  </si>
  <si>
    <t>2</t>
  </si>
  <si>
    <t>3</t>
  </si>
  <si>
    <t>4</t>
  </si>
  <si>
    <t>5</t>
  </si>
  <si>
    <t>6</t>
  </si>
  <si>
    <t>7</t>
  </si>
  <si>
    <t>8</t>
  </si>
  <si>
    <t xml:space="preserve"> - wydatki bieżące, w tym:</t>
  </si>
  <si>
    <t>wynagrodzenia i składki od nich naliczone</t>
  </si>
  <si>
    <t>dotacje</t>
  </si>
  <si>
    <t>świadczenia na rzecz osób fizycznych</t>
  </si>
  <si>
    <t>obsługa długu</t>
  </si>
  <si>
    <t>S P R A W O Z D A N  I E</t>
  </si>
  <si>
    <t>30 000,00</t>
  </si>
  <si>
    <t>Opłaty z tytułu zakupu usług telekomunikacyjnych</t>
  </si>
  <si>
    <t>35 000,00</t>
  </si>
  <si>
    <t>7 000,00</t>
  </si>
  <si>
    <t>95 378,00</t>
  </si>
  <si>
    <t>45 000,00</t>
  </si>
  <si>
    <t>297 930,16</t>
  </si>
  <si>
    <t>4 695 261,05</t>
  </si>
  <si>
    <t>366 063,66</t>
  </si>
  <si>
    <t>856 777,62</t>
  </si>
  <si>
    <t>115 839,73</t>
  </si>
  <si>
    <t>245 134,60</t>
  </si>
  <si>
    <t>82 632,50</t>
  </si>
  <si>
    <t>6 306,00</t>
  </si>
  <si>
    <t>69 271,42</t>
  </si>
  <si>
    <t>10 633,00</t>
  </si>
  <si>
    <t>6 971,00</t>
  </si>
  <si>
    <t>18 900,00</t>
  </si>
  <si>
    <t>343 714,61</t>
  </si>
  <si>
    <t>32 295,00</t>
  </si>
  <si>
    <t>362 208,97</t>
  </si>
  <si>
    <t>28 692,42</t>
  </si>
  <si>
    <t>64 163,92</t>
  </si>
  <si>
    <t>8 669,51</t>
  </si>
  <si>
    <t>21 025,00</t>
  </si>
  <si>
    <t>80150</t>
  </si>
  <si>
    <t>61 761,98</t>
  </si>
  <si>
    <t>wydatki na programy finansowane z udziałem środków o których mowa w art.5 ust1 pkt 2 i 3</t>
  </si>
  <si>
    <t>90004</t>
  </si>
  <si>
    <t>Utrzymanie zieleni w miastach i gminach</t>
  </si>
  <si>
    <t>90019</t>
  </si>
  <si>
    <t>Wpływy i wydatki związane z gromadzeniem środków z opłat i kar za korzystanie ze środowiska</t>
  </si>
  <si>
    <t>491,52</t>
  </si>
  <si>
    <t>70,42</t>
  </si>
  <si>
    <t>Opłaty na rzecz budżetów jednostek samorządu terytorialnego</t>
  </si>
  <si>
    <t>4520</t>
  </si>
  <si>
    <t>40 000,00</t>
  </si>
  <si>
    <t>22 000,00</t>
  </si>
  <si>
    <t>25 000,00</t>
  </si>
  <si>
    <t>Realizacja zadań wymagających stosowania specjalnej organizacji nauki i metod pracy dla dzieci w przedszkolach, oddziałach przedszkolnych w szkołach podstawowych i innych formach wychowania przedszkolnego</t>
  </si>
  <si>
    <t>80149</t>
  </si>
  <si>
    <t>134 090,00</t>
  </si>
  <si>
    <t>55 000,00</t>
  </si>
  <si>
    <t>300,00</t>
  </si>
  <si>
    <t>2 500,00</t>
  </si>
  <si>
    <t>11 200,00</t>
  </si>
  <si>
    <t>634,00</t>
  </si>
  <si>
    <t>28 692,00</t>
  </si>
  <si>
    <t>24 000,00</t>
  </si>
  <si>
    <t>12 010,32</t>
  </si>
  <si>
    <t>1 932,28</t>
  </si>
  <si>
    <t>5 304,00</t>
  </si>
  <si>
    <t>533 634,67</t>
  </si>
  <si>
    <t>670,83</t>
  </si>
  <si>
    <t>7 769,03</t>
  </si>
  <si>
    <t>2 865 889,46</t>
  </si>
  <si>
    <t>27 500,00</t>
  </si>
  <si>
    <t>Zwrot dotacji oraz płatności wykorzystanych niezgodnie z przeznaczeniem lub wykorzystanych z naruszeniem procedur, o których mowa w art. 184 ustawy, pobranych nienależnie lub w nadmiernej wysokości</t>
  </si>
  <si>
    <t>3 185,00</t>
  </si>
  <si>
    <t>3 556,98</t>
  </si>
  <si>
    <t>4530</t>
  </si>
  <si>
    <t>Podatek od towarów i usług (VAT).</t>
  </si>
  <si>
    <t>2 265 000,00</t>
  </si>
  <si>
    <t>171 647,34</t>
  </si>
  <si>
    <t>428 636,70</t>
  </si>
  <si>
    <t>59 697,86</t>
  </si>
  <si>
    <t>70 000,00</t>
  </si>
  <si>
    <t>108 000,00</t>
  </si>
  <si>
    <t>2 370,00</t>
  </si>
  <si>
    <t>338 599,96</t>
  </si>
  <si>
    <t>69 083,25</t>
  </si>
  <si>
    <t>75414</t>
  </si>
  <si>
    <t>Obrona cywilna</t>
  </si>
  <si>
    <t>30 203,90</t>
  </si>
  <si>
    <t>653 941,63</t>
  </si>
  <si>
    <t>50 620,98</t>
  </si>
  <si>
    <t>126 288,04</t>
  </si>
  <si>
    <t>17 594,64</t>
  </si>
  <si>
    <t>58 732,98</t>
  </si>
  <si>
    <t>111 720,00</t>
  </si>
  <si>
    <t>36 200,00</t>
  </si>
  <si>
    <t>16 556,35</t>
  </si>
  <si>
    <t>1 234,22</t>
  </si>
  <si>
    <t>100,00</t>
  </si>
  <si>
    <t>940,00</t>
  </si>
  <si>
    <t>47 337,04</t>
  </si>
  <si>
    <t>135 000,00</t>
  </si>
  <si>
    <t>25 000,20</t>
  </si>
  <si>
    <t>138 725,00</t>
  </si>
  <si>
    <t>753 484,00</t>
  </si>
  <si>
    <t>62 759,24</t>
  </si>
  <si>
    <t>21 000,00</t>
  </si>
  <si>
    <t>14 759,24</t>
  </si>
  <si>
    <t>118 462,30</t>
  </si>
  <si>
    <t>7 580,20</t>
  </si>
  <si>
    <t>21 492,79</t>
  </si>
  <si>
    <t>3 063,25</t>
  </si>
  <si>
    <t>182 410,00</t>
  </si>
  <si>
    <t>5 335,47</t>
  </si>
  <si>
    <t>700,00</t>
  </si>
  <si>
    <t>12 506,00</t>
  </si>
  <si>
    <t>85508</t>
  </si>
  <si>
    <t>85230</t>
  </si>
  <si>
    <t>Pomoc w zakresie dożywiania</t>
  </si>
  <si>
    <t>Pomoc materialna dla uczniów o charakterze socjalnym</t>
  </si>
  <si>
    <t>855</t>
  </si>
  <si>
    <t>85501</t>
  </si>
  <si>
    <t xml:space="preserve">Rodzina </t>
  </si>
  <si>
    <t>Świadczenia wychowawcze</t>
  </si>
  <si>
    <t>85502</t>
  </si>
  <si>
    <t>5 097 505,00</t>
  </si>
  <si>
    <t>119 010,00</t>
  </si>
  <si>
    <t>8 900,00</t>
  </si>
  <si>
    <t>241 400,00</t>
  </si>
  <si>
    <t>85503</t>
  </si>
  <si>
    <t>Karta Dużej Rodziny</t>
  </si>
  <si>
    <t>85504</t>
  </si>
  <si>
    <t>282 142,13</t>
  </si>
  <si>
    <t>52 085,70</t>
  </si>
  <si>
    <t>7 423,50</t>
  </si>
  <si>
    <t>5 662,28</t>
  </si>
  <si>
    <t>14 500,00</t>
  </si>
  <si>
    <t>Zasiłki okresowe, celowe i pomoc w naturze oraz składki na ubezpieczenia emerytalne i rentowe</t>
  </si>
  <si>
    <t>01009</t>
  </si>
  <si>
    <t>Spółki wodne</t>
  </si>
  <si>
    <t>4240</t>
  </si>
  <si>
    <t>Zakup środków dydaktycznych i książek</t>
  </si>
  <si>
    <t>Realizacja zadań wymagających stosowania specjalnej organizacji nauki i metod pracy dla dzieci i młodzieży w szkołach podstawowych</t>
  </si>
  <si>
    <t>90005</t>
  </si>
  <si>
    <t>Ochrona powietrza atmosferycznego i klimatu</t>
  </si>
  <si>
    <t>2360</t>
  </si>
  <si>
    <t>92605</t>
  </si>
  <si>
    <t>Zadania w zakresie kultury fizycznej</t>
  </si>
  <si>
    <t xml:space="preserve"> - wydatki majątkowe, w tym:</t>
  </si>
  <si>
    <t>75085</t>
  </si>
  <si>
    <t>Wspólna obsługa jednostek samorządu terytorialnego</t>
  </si>
  <si>
    <t>Szkolenia pracowników niebędących członkami korpusu służby cywilnej</t>
  </si>
  <si>
    <t>4190</t>
  </si>
  <si>
    <t>Nagrody konkursowe</t>
  </si>
  <si>
    <t>2540</t>
  </si>
  <si>
    <t>Dotacja podmiotowa z budżetu dla niepublicznej jednostki systemu oświaty</t>
  </si>
  <si>
    <t>80153</t>
  </si>
  <si>
    <t>Zapewnienie uczniom prawa do bezpłatnego dostępu do podręczników, materiałów edukacyjnych lub materiałów ćwiczeniowych</t>
  </si>
  <si>
    <t>85510</t>
  </si>
  <si>
    <t>Działalność placówek opiekuńczo-wychowawczych</t>
  </si>
  <si>
    <t>85513</t>
  </si>
  <si>
    <t>4590</t>
  </si>
  <si>
    <t>Gospodarka odpadami komunalnymi</t>
  </si>
  <si>
    <t>90026</t>
  </si>
  <si>
    <t>Pozostałe działania związane z gospodarką odpadami</t>
  </si>
  <si>
    <t>Składki na ubezpieczenie zdrowotne opłacane za osoby pobierajace niektóre świadczenia z pomocy społecznej oraz za osoby uczestniczące w zajęciach w centrum integracji społecznej.</t>
  </si>
  <si>
    <t>71095</t>
  </si>
  <si>
    <t>75421</t>
  </si>
  <si>
    <t>Zarządzanie kryzysowe</t>
  </si>
  <si>
    <t>Rózne opłaty i składki</t>
  </si>
  <si>
    <t xml:space="preserve">Wydatki inwestycyjne jednostek budżetowych </t>
  </si>
  <si>
    <t>OGÓŁEM WYDATKI:</t>
  </si>
  <si>
    <t>Kary i odszkodowania wypłacane na rzecz osób fizycznych</t>
  </si>
  <si>
    <t>Składki na Fundusz Pracy oraz Fundusz Solidarnościowy</t>
  </si>
  <si>
    <t>Wpłaty na PPK finansowane przez podmiot zatrudniający</t>
  </si>
  <si>
    <t>4710</t>
  </si>
  <si>
    <t>75495</t>
  </si>
  <si>
    <t>4610</t>
  </si>
  <si>
    <t>Koszty postępowania sądowego i prokuratorskiego</t>
  </si>
  <si>
    <t>85516</t>
  </si>
  <si>
    <t>System opieki nad dziećmi w wieku do lat 3</t>
  </si>
  <si>
    <t>6300</t>
  </si>
  <si>
    <t>Dotacja celowa na pomoc finansową udzielaną między jednostkami samorządu terytorialnego na dofinansowanie własnych zadań inwestycyjnych i zakupów inwestycyjnych</t>
  </si>
  <si>
    <t>Obsługa papierów wartościowych, kredytów i pożyczek oraz innych zobowiązań jednostek samorządu terytorialnego zaliczanych do tytułu dłużnego – kredyty i pożyczki</t>
  </si>
  <si>
    <t>Składki na ubezpieczenie zdrowotne opłacane za osoby pobierające niektóre świadczenia rodzinne oraz za osoby pobierające zasiłki dla opiekunów</t>
  </si>
  <si>
    <t>za I półrocze 2022 r.</t>
  </si>
  <si>
    <t>01044</t>
  </si>
  <si>
    <t>Infrastruktura sanitacyjna wsi</t>
  </si>
  <si>
    <t>400</t>
  </si>
  <si>
    <t>40095</t>
  </si>
  <si>
    <t>Wytwarzanie i zaopatrywanie w energię elektryczną, gaz i wodę</t>
  </si>
  <si>
    <t>60004</t>
  </si>
  <si>
    <t>Lokalny transport zbiorowy</t>
  </si>
  <si>
    <t>6060</t>
  </si>
  <si>
    <t>Zwroty dotacji oraz płatności wykorzystanych niezgodnie z przeznaczeniem lub wykorzystanych z naruszeniem procedur, o których mowa w art. 184 ustawy, pobranych nienależnie lub w nadmiernej wysokości, dotyczące wydatków majątkowych</t>
  </si>
  <si>
    <t>6660</t>
  </si>
  <si>
    <t>4217</t>
  </si>
  <si>
    <t>4307</t>
  </si>
  <si>
    <t>4420</t>
  </si>
  <si>
    <t>Podróże służbowe zagraniczne</t>
  </si>
  <si>
    <t>4707</t>
  </si>
  <si>
    <t>6067</t>
  </si>
  <si>
    <t>Wydatki na zakupy inwestycyjne jednostek budżetowych</t>
  </si>
  <si>
    <t>756</t>
  </si>
  <si>
    <t>75616</t>
  </si>
  <si>
    <t>Dochody od osób prawnych, od osób fizycznych i od innych jednostek nieposiadających osobowości prawnej oraz wydatki związane z ich poborem</t>
  </si>
  <si>
    <t>Wpływy z podatku rolnego, podatku leśnego, podatku od spadków i darowizn, podatku od czynności cywilno-prawnych oraz podatków i opłat lokalnych od osób fizycznych</t>
  </si>
  <si>
    <t>4790</t>
  </si>
  <si>
    <t>4800</t>
  </si>
  <si>
    <t>Wynagrodzenia osobowe nauczycieli</t>
  </si>
  <si>
    <t>Dodatkowe wynagrodzenie roczne nauczycieli</t>
  </si>
  <si>
    <t>85111</t>
  </si>
  <si>
    <t>6220</t>
  </si>
  <si>
    <t>Szpitale ogólne</t>
  </si>
  <si>
    <t>Dotacja celowa z budżetu na finansowanie lub dofinansowanie kosztów realizacji inwestycji i zakupów inwestycyjnych innych jednostek sektora finansów publicznych</t>
  </si>
  <si>
    <t>853</t>
  </si>
  <si>
    <t>85395</t>
  </si>
  <si>
    <t>Pozostałe zadania w zakresie polityki społecznej</t>
  </si>
  <si>
    <t>4437</t>
  </si>
  <si>
    <t>85595</t>
  </si>
  <si>
    <t>4390</t>
  </si>
  <si>
    <t>Zakup usług obejmujących wykonanie ekspertyz, analiz i opinii</t>
  </si>
  <si>
    <t>Zwrot dotacji oraz płatności  wykorzystanych niezgodnie z przeznaczeniem lub wykorzystanych z naruszeniem procedur, o których mowa w art. 184 ustawy, pobranych nienależnie lub w nadmiernej wysokości</t>
  </si>
  <si>
    <t>Dotacja celowa z budżetu na finansowanie lub dofinansowanie prac remontowych i konserwatorskich obiektów zabytkowych przekazane jednostkom niezaliczanym do sektora finansów publicznych</t>
  </si>
  <si>
    <t>Dotacja celowa z budżetu jednostki samorządu terytorialnego, udzielone w trybie art. 221 ustawy, na finansowanie lub dofinansowanie zadań zleconych do realizacji organizacjom prowadzącym działalność pożytku publicznego</t>
  </si>
  <si>
    <t>Dotacja celowa przekazana dla powiatu na zadania bieżące realizowane na podstawie porozumień (umów) między jednostkami samorządu terytorialnego</t>
  </si>
  <si>
    <t>Załącznik nr 2                                                                                                                                                                                                                   do Zarządzenia nr 175/2022                                                                                                                                                                    Burmistrza Miasta i Gminy Chorzele                                                                                                                                                                    z dnia 23 sierpnia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</si>
</sst>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1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ambria"/>
      <family val="1"/>
      <charset val="238"/>
      <scheme val="major"/>
    </font>
    <font>
      <sz val="8"/>
      <color indexed="8"/>
      <name val="Cambria"/>
      <family val="1"/>
      <charset val="238"/>
      <scheme val="major"/>
    </font>
    <font>
      <b/>
      <sz val="10"/>
      <color indexed="8"/>
      <name val="Cambria"/>
      <family val="1"/>
      <charset val="238"/>
      <scheme val="major"/>
    </font>
    <font>
      <b/>
      <sz val="8"/>
      <color indexed="8"/>
      <name val="Cambria"/>
      <family val="1"/>
      <charset val="238"/>
      <scheme val="major"/>
    </font>
    <font>
      <sz val="8.25"/>
      <color indexed="8"/>
      <name val="Cambria"/>
      <family val="1"/>
      <charset val="238"/>
      <scheme val="major"/>
    </font>
    <font>
      <b/>
      <sz val="8.25"/>
      <color indexed="8"/>
      <name val="Cambria"/>
      <family val="1"/>
      <charset val="238"/>
      <scheme val="major"/>
    </font>
    <font>
      <i/>
      <sz val="8.25"/>
      <color indexed="8"/>
      <name val="Cambria"/>
      <family val="1"/>
      <charset val="238"/>
      <scheme val="major"/>
    </font>
    <font>
      <b/>
      <sz val="9"/>
      <color indexed="8"/>
      <name val="Cambria"/>
      <family val="1"/>
      <charset val="238"/>
      <scheme val="major"/>
    </font>
    <font>
      <sz val="12"/>
      <color indexed="8"/>
      <name val="Cambria"/>
      <family val="1"/>
      <charset val="238"/>
      <scheme val="major"/>
    </font>
    <font>
      <i/>
      <sz val="12"/>
      <color indexed="8"/>
      <name val="Cambria"/>
      <family val="1"/>
      <charset val="238"/>
      <scheme val="major"/>
    </font>
    <font>
      <b/>
      <sz val="8.25"/>
      <name val="Cambria"/>
      <family val="1"/>
      <charset val="238"/>
      <scheme val="major"/>
    </font>
    <font>
      <sz val="8.5"/>
      <color indexed="8"/>
      <name val="Cambria"/>
      <family val="1"/>
      <charset val="238"/>
      <scheme val="major"/>
    </font>
    <font>
      <b/>
      <sz val="8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i/>
      <sz val="8.5"/>
      <color indexed="8"/>
      <name val="Cambria"/>
      <family val="1"/>
      <charset val="238"/>
      <scheme val="major"/>
    </font>
    <font>
      <b/>
      <i/>
      <sz val="8.25"/>
      <color indexed="8"/>
      <name val="Cambria"/>
      <family val="1"/>
      <charset val="238"/>
      <scheme val="major"/>
    </font>
    <font>
      <i/>
      <sz val="8"/>
      <color indexed="8"/>
      <name val="Cambria"/>
      <family val="1"/>
      <charset val="238"/>
      <scheme val="major"/>
    </font>
    <font>
      <b/>
      <sz val="8.5"/>
      <color indexed="8"/>
      <name val="Cambria"/>
      <family val="1"/>
      <charset val="238"/>
      <scheme val="major"/>
    </font>
    <font>
      <i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7"/>
      <name val="Cambria"/>
      <family val="1"/>
      <charset val="238"/>
      <scheme val="major"/>
    </font>
    <font>
      <b/>
      <sz val="8.3000000000000007"/>
      <color indexed="8"/>
      <name val="Cambria"/>
      <family val="1"/>
      <charset val="238"/>
      <scheme val="major"/>
    </font>
    <font>
      <b/>
      <sz val="5.5"/>
      <color indexed="8"/>
      <name val="Cambria"/>
      <family val="1"/>
      <charset val="238"/>
      <scheme val="major"/>
    </font>
    <font>
      <i/>
      <sz val="8.25"/>
      <name val="Cambria"/>
      <family val="1"/>
      <charset val="238"/>
      <scheme val="major"/>
    </font>
    <font>
      <sz val="8.25"/>
      <name val="Cambria"/>
      <family val="1"/>
      <charset val="238"/>
      <scheme val="major"/>
    </font>
    <font>
      <b/>
      <sz val="7"/>
      <color indexed="8"/>
      <name val="Cambria"/>
      <family val="1"/>
      <charset val="238"/>
      <scheme val="major"/>
    </font>
    <font>
      <b/>
      <sz val="7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484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Fill="1" applyBorder="1" applyAlignment="1" applyProtection="1">
      <alignment horizontal="left" wrapText="1"/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NumberFormat="1" applyFont="1" applyFill="1" applyBorder="1" applyAlignment="1" applyProtection="1">
      <alignment horizontal="left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8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3" xfId="0" applyNumberFormat="1" applyFont="1" applyFill="1" applyBorder="1" applyAlignment="1" applyProtection="1">
      <alignment horizontal="left" vertical="center" wrapText="1"/>
      <protection locked="0"/>
    </xf>
    <xf numFmtId="4" fontId="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4" fontId="8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1" fillId="4" borderId="0" xfId="0" applyNumberFormat="1" applyFont="1" applyFill="1" applyBorder="1" applyAlignment="1" applyProtection="1">
      <alignment horizontal="left"/>
      <protection locked="0"/>
    </xf>
    <xf numFmtId="49" fontId="9" fillId="3" borderId="7" xfId="0" applyNumberFormat="1" applyFont="1" applyFill="1" applyBorder="1" applyAlignment="1" applyProtection="1">
      <alignment horizontal="left" vertical="center" wrapText="1"/>
      <protection locked="0"/>
    </xf>
    <xf numFmtId="164" fontId="9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left" vertical="center" wrapText="1"/>
      <protection locked="0"/>
    </xf>
    <xf numFmtId="4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164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8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9" xfId="0" applyNumberFormat="1" applyFont="1" applyFill="1" applyBorder="1" applyAlignment="1" applyProtection="1">
      <alignment horizontal="left" vertical="center" wrapText="1"/>
      <protection locked="0"/>
    </xf>
    <xf numFmtId="16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9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0" xfId="0" applyNumberFormat="1" applyFont="1" applyFill="1" applyBorder="1" applyAlignment="1" applyProtection="1">
      <alignment horizontal="left" vertical="center" wrapText="1"/>
      <protection locked="0"/>
    </xf>
    <xf numFmtId="4" fontId="8" fillId="3" borderId="11" xfId="0" applyNumberFormat="1" applyFont="1" applyFill="1" applyBorder="1" applyAlignment="1" applyProtection="1">
      <alignment horizontal="right" vertical="center" wrapText="1"/>
      <protection locked="0"/>
    </xf>
    <xf numFmtId="164" fontId="8" fillId="3" borderId="11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0" applyNumberFormat="1" applyFont="1" applyFill="1" applyBorder="1" applyAlignment="1" applyProtection="1">
      <alignment horizontal="left"/>
      <protection locked="0"/>
    </xf>
    <xf numFmtId="49" fontId="13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8" xfId="0" applyNumberFormat="1" applyFont="1" applyFill="1" applyBorder="1" applyAlignment="1" applyProtection="1">
      <alignment horizontal="left" vertical="center" wrapText="1"/>
      <protection locked="0"/>
    </xf>
    <xf numFmtId="164" fontId="1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0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0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12" xfId="0" applyNumberFormat="1" applyFont="1" applyFill="1" applyBorder="1" applyAlignment="1" applyProtection="1">
      <alignment horizontal="left" vertical="center" wrapText="1"/>
      <protection locked="0"/>
    </xf>
    <xf numFmtId="164" fontId="9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2" fontId="8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1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4" xfId="0" applyNumberFormat="1" applyFont="1" applyFill="1" applyBorder="1" applyAlignment="1" applyProtection="1">
      <alignment horizontal="right" vertical="center" wrapText="1"/>
      <protection locked="0"/>
    </xf>
    <xf numFmtId="49" fontId="7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7" xfId="0" applyNumberFormat="1" applyFont="1" applyFill="1" applyBorder="1" applyAlignment="1" applyProtection="1">
      <alignment horizontal="left" vertical="center" wrapText="1"/>
      <protection locked="0"/>
    </xf>
    <xf numFmtId="4" fontId="14" fillId="3" borderId="6" xfId="0" applyNumberFormat="1" applyFont="1" applyFill="1" applyBorder="1" applyAlignment="1" applyProtection="1">
      <alignment horizontal="right" vertical="center" wrapText="1"/>
      <protection locked="0"/>
    </xf>
    <xf numFmtId="164" fontId="14" fillId="3" borderId="6" xfId="0" applyNumberFormat="1" applyFont="1" applyFill="1" applyBorder="1" applyAlignment="1" applyProtection="1">
      <alignment horizontal="right" vertical="center" wrapText="1"/>
      <protection locked="0"/>
    </xf>
    <xf numFmtId="164" fontId="10" fillId="3" borderId="11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0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13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20" xfId="0" applyNumberFormat="1" applyFont="1" applyFill="1" applyBorder="1" applyAlignment="1" applyProtection="1">
      <alignment vertical="center" wrapText="1"/>
      <protection locked="0"/>
    </xf>
    <xf numFmtId="4" fontId="7" fillId="3" borderId="21" xfId="0" applyNumberFormat="1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5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4" xfId="0" applyNumberFormat="1" applyFont="1" applyFill="1" applyBorder="1" applyAlignment="1" applyProtection="1">
      <alignment horizontal="left"/>
      <protection locked="0"/>
    </xf>
    <xf numFmtId="49" fontId="9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49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18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13" xfId="0" applyNumberFormat="1" applyFont="1" applyFill="1" applyBorder="1" applyAlignment="1" applyProtection="1">
      <alignment horizontal="right" vertical="center" wrapText="1"/>
      <protection locked="0"/>
    </xf>
    <xf numFmtId="49" fontId="19" fillId="3" borderId="18" xfId="0" applyNumberFormat="1" applyFont="1" applyFill="1" applyBorder="1" applyAlignment="1" applyProtection="1">
      <alignment horizontal="center" vertical="center" wrapText="1"/>
      <protection locked="0"/>
    </xf>
    <xf numFmtId="164" fontId="15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19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9" xfId="0" applyNumberFormat="1" applyFont="1" applyFill="1" applyBorder="1" applyAlignment="1" applyProtection="1">
      <alignment horizontal="left" vertical="center" wrapText="1"/>
      <protection locked="0"/>
    </xf>
    <xf numFmtId="0" fontId="4" fillId="4" borderId="24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" xfId="0" applyNumberFormat="1" applyFont="1" applyFill="1" applyBorder="1" applyAlignment="1" applyProtection="1">
      <alignment horizontal="left" vertical="center" wrapText="1"/>
      <protection locked="0"/>
    </xf>
    <xf numFmtId="2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164" fontId="8" fillId="3" borderId="17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4" xfId="0" applyNumberFormat="1" applyFont="1" applyFill="1" applyBorder="1" applyAlignment="1" applyProtection="1">
      <alignment horizontal="center" vertical="center" wrapText="1"/>
      <protection locked="0"/>
    </xf>
    <xf numFmtId="164" fontId="2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6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14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3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18" fillId="2" borderId="18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40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18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10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18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18" fillId="2" borderId="8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3" xfId="0" applyNumberFormat="1" applyFont="1" applyFill="1" applyBorder="1" applyAlignment="1" applyProtection="1">
      <alignment horizontal="justify" vertical="center" wrapText="1"/>
      <protection locked="0"/>
    </xf>
    <xf numFmtId="4" fontId="8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9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5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28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5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9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19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10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41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42" xfId="0" applyNumberFormat="1" applyFont="1" applyFill="1" applyBorder="1" applyAlignment="1" applyProtection="1">
      <alignment horizontal="right" vertical="center" wrapText="1"/>
      <protection locked="0"/>
    </xf>
    <xf numFmtId="4" fontId="15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15" fillId="3" borderId="9" xfId="0" applyNumberFormat="1" applyFont="1" applyFill="1" applyBorder="1" applyAlignment="1" applyProtection="1">
      <alignment horizontal="right" vertical="center" wrapText="1"/>
      <protection locked="0"/>
    </xf>
    <xf numFmtId="4" fontId="18" fillId="2" borderId="43" xfId="0" applyNumberFormat="1" applyFont="1" applyFill="1" applyBorder="1" applyAlignment="1" applyProtection="1">
      <alignment horizontal="right" vertical="center" wrapText="1"/>
      <protection locked="0"/>
    </xf>
    <xf numFmtId="49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44" xfId="0" applyNumberFormat="1" applyFont="1" applyFill="1" applyBorder="1" applyAlignment="1" applyProtection="1">
      <alignment horizontal="right" vertical="center" wrapText="1"/>
      <protection locked="0"/>
    </xf>
    <xf numFmtId="4" fontId="15" fillId="0" borderId="0" xfId="0" applyNumberFormat="1" applyFont="1" applyFill="1" applyBorder="1" applyAlignment="1" applyProtection="1">
      <alignment horizontal="right"/>
      <protection locked="0"/>
    </xf>
    <xf numFmtId="4" fontId="8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15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1" fillId="3" borderId="0" xfId="0" applyNumberFormat="1" applyFont="1" applyFill="1" applyBorder="1" applyAlignment="1" applyProtection="1">
      <alignment horizontal="center" vertical="center" wrapText="1"/>
      <protection locked="0"/>
    </xf>
    <xf numFmtId="4" fontId="15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37" xfId="0" applyNumberFormat="1" applyFont="1" applyFill="1" applyBorder="1" applyAlignment="1" applyProtection="1">
      <alignment horizontal="left" vertical="center" wrapText="1"/>
      <protection locked="0"/>
    </xf>
    <xf numFmtId="4" fontId="8" fillId="2" borderId="45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27" xfId="0" applyNumberFormat="1" applyFont="1" applyFill="1" applyBorder="1" applyAlignment="1" applyProtection="1">
      <alignment horizontal="right" vertical="center" wrapText="1"/>
      <protection locked="0"/>
    </xf>
    <xf numFmtId="4" fontId="18" fillId="2" borderId="46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47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0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36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4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8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22" xfId="0" applyNumberFormat="1" applyFont="1" applyFill="1" applyBorder="1" applyAlignment="1" applyProtection="1">
      <alignment horizontal="right" vertical="center" wrapText="1"/>
      <protection locked="0"/>
    </xf>
    <xf numFmtId="4" fontId="18" fillId="3" borderId="9" xfId="0" applyNumberFormat="1" applyFont="1" applyFill="1" applyBorder="1" applyAlignment="1" applyProtection="1">
      <alignment horizontal="right" vertical="center" wrapText="1"/>
      <protection locked="0"/>
    </xf>
    <xf numFmtId="4" fontId="15" fillId="3" borderId="10" xfId="0" applyNumberFormat="1" applyFont="1" applyFill="1" applyBorder="1" applyAlignment="1" applyProtection="1">
      <alignment horizontal="right" vertical="center" wrapText="1"/>
      <protection locked="0"/>
    </xf>
    <xf numFmtId="4" fontId="15" fillId="3" borderId="36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0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6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16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8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9" xfId="0" applyNumberFormat="1" applyFont="1" applyFill="1" applyBorder="1" applyAlignment="1" applyProtection="1">
      <alignment horizontal="right" vertical="center" wrapText="1"/>
      <protection locked="0"/>
    </xf>
    <xf numFmtId="4" fontId="19" fillId="3" borderId="49" xfId="0" applyNumberFormat="1" applyFont="1" applyFill="1" applyBorder="1" applyAlignment="1" applyProtection="1">
      <alignment horizontal="right" vertical="center" wrapText="1"/>
      <protection locked="0"/>
    </xf>
    <xf numFmtId="4" fontId="15" fillId="0" borderId="2" xfId="0" applyNumberFormat="1" applyFont="1" applyFill="1" applyBorder="1" applyAlignment="1" applyProtection="1">
      <alignment horizontal="right"/>
      <protection locked="0"/>
    </xf>
    <xf numFmtId="0" fontId="10" fillId="3" borderId="10" xfId="0" applyNumberFormat="1" applyFont="1" applyFill="1" applyBorder="1" applyAlignment="1" applyProtection="1">
      <alignment horizontal="left" vertical="center" wrapText="1"/>
      <protection locked="0"/>
    </xf>
    <xf numFmtId="4" fontId="15" fillId="3" borderId="19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31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7" xfId="0" applyNumberFormat="1" applyFont="1" applyFill="1" applyBorder="1" applyAlignment="1" applyProtection="1">
      <alignment horizontal="right" vertical="center"/>
      <protection locked="0"/>
    </xf>
    <xf numFmtId="4" fontId="15" fillId="3" borderId="11" xfId="0" applyNumberFormat="1" applyFont="1" applyFill="1" applyBorder="1" applyAlignment="1" applyProtection="1">
      <alignment horizontal="right" vertical="center" wrapText="1"/>
      <protection locked="0"/>
    </xf>
    <xf numFmtId="164" fontId="15" fillId="3" borderId="11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0" xfId="0" applyNumberFormat="1" applyFont="1" applyFill="1" applyBorder="1" applyAlignment="1" applyProtection="1">
      <alignment horizontal="left" vertical="center" wrapText="1"/>
      <protection locked="0"/>
    </xf>
    <xf numFmtId="4" fontId="8" fillId="3" borderId="30" xfId="0" applyNumberFormat="1" applyFont="1" applyFill="1" applyBorder="1" applyAlignment="1" applyProtection="1">
      <alignment horizontal="right" vertical="center" wrapText="1"/>
      <protection locked="0"/>
    </xf>
    <xf numFmtId="4" fontId="23" fillId="3" borderId="1" xfId="0" applyNumberFormat="1" applyFont="1" applyFill="1" applyBorder="1" applyAlignment="1" applyProtection="1">
      <alignment vertical="center" wrapText="1"/>
      <protection locked="0"/>
    </xf>
    <xf numFmtId="4" fontId="23" fillId="4" borderId="1" xfId="0" applyNumberFormat="1" applyFont="1" applyFill="1" applyBorder="1" applyAlignment="1" applyProtection="1">
      <alignment vertical="center"/>
      <protection locked="0"/>
    </xf>
    <xf numFmtId="4" fontId="23" fillId="3" borderId="55" xfId="0" applyNumberFormat="1" applyFont="1" applyFill="1" applyBorder="1" applyAlignment="1" applyProtection="1">
      <alignment vertical="center" wrapText="1"/>
      <protection locked="0"/>
    </xf>
    <xf numFmtId="49" fontId="23" fillId="5" borderId="54" xfId="0" applyNumberFormat="1" applyFont="1" applyFill="1" applyBorder="1" applyAlignment="1"/>
    <xf numFmtId="164" fontId="23" fillId="3" borderId="5" xfId="0" applyNumberFormat="1" applyFont="1" applyFill="1" applyBorder="1" applyAlignment="1" applyProtection="1">
      <alignment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9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0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6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48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9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1" xfId="0" applyNumberFormat="1" applyFont="1" applyFill="1" applyBorder="1" applyAlignment="1" applyProtection="1">
      <alignment horizontal="left" vertical="center" wrapText="1"/>
      <protection locked="0"/>
    </xf>
    <xf numFmtId="4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164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25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25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36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40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30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62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10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6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9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47" xfId="0" applyNumberFormat="1" applyFont="1" applyFill="1" applyBorder="1" applyAlignment="1" applyProtection="1">
      <alignment horizontal="right" vertical="center" wrapText="1"/>
      <protection locked="0"/>
    </xf>
    <xf numFmtId="49" fontId="14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44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1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9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7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6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4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45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45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61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0" applyNumberFormat="1" applyFont="1" applyFill="1" applyBorder="1" applyAlignment="1" applyProtection="1">
      <alignment horizontal="left"/>
      <protection locked="0"/>
    </xf>
    <xf numFmtId="4" fontId="15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27" xfId="0" applyNumberFormat="1" applyFont="1" applyFill="1" applyBorder="1" applyAlignment="1" applyProtection="1">
      <alignment horizontal="right" vertical="center" wrapText="1"/>
      <protection locked="0"/>
    </xf>
    <xf numFmtId="4" fontId="27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28" fillId="3" borderId="11" xfId="0" applyNumberFormat="1" applyFont="1" applyFill="1" applyBorder="1" applyAlignment="1" applyProtection="1">
      <alignment horizontal="right" vertical="center" wrapText="1"/>
      <protection locked="0"/>
    </xf>
    <xf numFmtId="4" fontId="28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16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27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2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54" xfId="0" applyFont="1" applyFill="1" applyBorder="1" applyAlignment="1"/>
    <xf numFmtId="164" fontId="23" fillId="3" borderId="1" xfId="0" applyNumberFormat="1" applyFont="1" applyFill="1" applyBorder="1" applyAlignment="1" applyProtection="1">
      <alignment vertical="center" wrapText="1"/>
      <protection locked="0"/>
    </xf>
    <xf numFmtId="0" fontId="22" fillId="5" borderId="51" xfId="0" applyFont="1" applyFill="1" applyBorder="1" applyAlignment="1"/>
    <xf numFmtId="4" fontId="23" fillId="3" borderId="52" xfId="0" applyNumberFormat="1" applyFont="1" applyFill="1" applyBorder="1" applyAlignment="1" applyProtection="1">
      <alignment vertical="center" wrapText="1"/>
      <protection locked="0"/>
    </xf>
    <xf numFmtId="4" fontId="23" fillId="4" borderId="52" xfId="0" applyNumberFormat="1" applyFont="1" applyFill="1" applyBorder="1" applyAlignment="1" applyProtection="1">
      <alignment vertical="center"/>
      <protection locked="0"/>
    </xf>
    <xf numFmtId="164" fontId="23" fillId="3" borderId="52" xfId="0" applyNumberFormat="1" applyFont="1" applyFill="1" applyBorder="1" applyAlignment="1" applyProtection="1">
      <alignment vertical="center" wrapText="1"/>
      <protection locked="0"/>
    </xf>
    <xf numFmtId="4" fontId="2" fillId="0" borderId="0" xfId="0" applyNumberFormat="1" applyFont="1" applyFill="1" applyBorder="1" applyAlignment="1" applyProtection="1">
      <alignment horizontal="left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3" fillId="5" borderId="54" xfId="0" applyFont="1" applyFill="1" applyBorder="1" applyAlignment="1"/>
    <xf numFmtId="0" fontId="24" fillId="5" borderId="56" xfId="0" applyFont="1" applyFill="1" applyBorder="1" applyAlignment="1">
      <alignment wrapText="1"/>
    </xf>
    <xf numFmtId="4" fontId="23" fillId="3" borderId="57" xfId="0" applyNumberFormat="1" applyFont="1" applyFill="1" applyBorder="1" applyAlignment="1" applyProtection="1">
      <alignment vertical="center" wrapText="1"/>
      <protection locked="0"/>
    </xf>
    <xf numFmtId="4" fontId="23" fillId="4" borderId="57" xfId="0" applyNumberFormat="1" applyFont="1" applyFill="1" applyBorder="1" applyAlignment="1" applyProtection="1">
      <alignment vertical="center"/>
      <protection locked="0"/>
    </xf>
    <xf numFmtId="164" fontId="23" fillId="3" borderId="73" xfId="0" applyNumberFormat="1" applyFont="1" applyFill="1" applyBorder="1" applyAlignment="1" applyProtection="1">
      <alignment vertical="center" wrapText="1"/>
      <protection locked="0"/>
    </xf>
    <xf numFmtId="4" fontId="23" fillId="3" borderId="58" xfId="0" applyNumberFormat="1" applyFont="1" applyFill="1" applyBorder="1" applyAlignment="1" applyProtection="1">
      <alignment vertical="center" wrapText="1"/>
      <protection locked="0"/>
    </xf>
    <xf numFmtId="4" fontId="23" fillId="4" borderId="0" xfId="0" applyNumberFormat="1" applyFont="1" applyFill="1" applyBorder="1" applyAlignment="1" applyProtection="1">
      <alignment vertical="center"/>
      <protection locked="0"/>
    </xf>
    <xf numFmtId="4" fontId="23" fillId="3" borderId="31" xfId="0" applyNumberFormat="1" applyFont="1" applyFill="1" applyBorder="1" applyAlignment="1" applyProtection="1">
      <alignment vertical="center" wrapText="1"/>
      <protection locked="0"/>
    </xf>
    <xf numFmtId="4" fontId="23" fillId="3" borderId="53" xfId="0" applyNumberFormat="1" applyFont="1" applyFill="1" applyBorder="1" applyAlignment="1" applyProtection="1">
      <alignment vertical="center" wrapText="1"/>
      <protection locked="0"/>
    </xf>
    <xf numFmtId="4" fontId="9" fillId="3" borderId="19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29" fillId="4" borderId="20" xfId="0" applyNumberFormat="1" applyFont="1" applyFill="1" applyBorder="1" applyAlignment="1" applyProtection="1">
      <alignment vertical="center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9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15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18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9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44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9" fillId="3" borderId="7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49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30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50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9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11" xfId="0" applyNumberFormat="1" applyFont="1" applyFill="1" applyBorder="1" applyAlignment="1" applyProtection="1">
      <alignment horizontal="left" vertical="center" wrapText="1"/>
      <protection locked="0"/>
    </xf>
    <xf numFmtId="4" fontId="15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8" fillId="3" borderId="11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5" xfId="0" applyNumberFormat="1" applyFont="1" applyFill="1" applyBorder="1" applyAlignment="1" applyProtection="1">
      <alignment horizontal="left" vertical="center" wrapText="1"/>
      <protection locked="0"/>
    </xf>
    <xf numFmtId="4" fontId="8" fillId="3" borderId="25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60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2" xfId="0" applyNumberFormat="1" applyFont="1" applyFill="1" applyBorder="1" applyAlignment="1" applyProtection="1">
      <alignment horizontal="right" vertical="center" wrapText="1"/>
      <protection locked="0"/>
    </xf>
    <xf numFmtId="164" fontId="10" fillId="3" borderId="74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45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7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15" fillId="0" borderId="27" xfId="0" applyNumberFormat="1" applyFont="1" applyFill="1" applyBorder="1" applyAlignment="1" applyProtection="1">
      <alignment horizontal="right" vertical="center"/>
      <protection locked="0"/>
    </xf>
    <xf numFmtId="4" fontId="15" fillId="0" borderId="19" xfId="0" applyNumberFormat="1" applyFont="1" applyFill="1" applyBorder="1" applyAlignment="1" applyProtection="1">
      <alignment horizontal="right" vertical="center"/>
      <protection locked="0"/>
    </xf>
    <xf numFmtId="4" fontId="30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" fontId="18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50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35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76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6" xfId="0" applyNumberFormat="1" applyFont="1" applyFill="1" applyBorder="1" applyAlignment="1" applyProtection="1">
      <alignment horizontal="left" vertical="center" wrapText="1"/>
      <protection locked="0"/>
    </xf>
    <xf numFmtId="4" fontId="15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77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78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57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57" xfId="0" applyNumberFormat="1" applyFont="1" applyFill="1" applyBorder="1" applyAlignment="1" applyProtection="1">
      <alignment horizontal="right" vertical="center" wrapText="1"/>
      <protection locked="0"/>
    </xf>
    <xf numFmtId="49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9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5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10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6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23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59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47" xfId="0" applyNumberFormat="1" applyFont="1" applyFill="1" applyBorder="1" applyAlignment="1" applyProtection="1">
      <alignment horizontal="right" vertical="center" wrapText="1"/>
      <protection locked="0"/>
    </xf>
    <xf numFmtId="4" fontId="14" fillId="3" borderId="7" xfId="0" applyNumberFormat="1" applyFont="1" applyFill="1" applyBorder="1" applyAlignment="1" applyProtection="1">
      <alignment horizontal="right" vertical="center" wrapText="1"/>
      <protection locked="0"/>
    </xf>
    <xf numFmtId="4" fontId="14" fillId="3" borderId="48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72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9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5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65" xfId="0" applyNumberFormat="1" applyFont="1" applyFill="1" applyBorder="1" applyAlignment="1" applyProtection="1">
      <alignment horizontal="right" vertical="center" wrapText="1"/>
      <protection locked="0"/>
    </xf>
    <xf numFmtId="49" fontId="14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9" fillId="3" borderId="7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4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49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49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48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6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49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64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46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4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66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67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68" xfId="0" applyNumberFormat="1" applyFont="1" applyFill="1" applyBorder="1" applyAlignment="1" applyProtection="1">
      <alignment horizontal="center" vertical="center" wrapText="1"/>
      <protection locked="0"/>
    </xf>
    <xf numFmtId="4" fontId="25" fillId="3" borderId="69" xfId="0" applyNumberFormat="1" applyFont="1" applyFill="1" applyBorder="1" applyAlignment="1" applyProtection="1">
      <alignment vertical="center" wrapText="1"/>
      <protection locked="0"/>
    </xf>
    <xf numFmtId="4" fontId="25" fillId="3" borderId="67" xfId="0" applyNumberFormat="1" applyFont="1" applyFill="1" applyBorder="1" applyAlignment="1" applyProtection="1">
      <alignment vertical="center" wrapText="1"/>
      <protection locked="0"/>
    </xf>
    <xf numFmtId="49" fontId="9" fillId="3" borderId="12" xfId="0" applyNumberFormat="1" applyFont="1" applyFill="1" applyBorder="1" applyAlignment="1" applyProtection="1">
      <alignment horizontal="center" vertical="center" wrapText="1"/>
      <protection locked="0"/>
    </xf>
    <xf numFmtId="4" fontId="9" fillId="3" borderId="12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70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4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 wrapText="1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49" fontId="6" fillId="2" borderId="0" xfId="0" applyNumberFormat="1" applyFont="1" applyFill="1" applyBorder="1" applyAlignment="1" applyProtection="1">
      <alignment horizontal="center" vertical="top" wrapText="1"/>
      <protection locked="0"/>
    </xf>
    <xf numFmtId="4" fontId="8" fillId="3" borderId="44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42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7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1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25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25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60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0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50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1"/>
  <sheetViews>
    <sheetView showGridLines="0" tabSelected="1" view="pageLayout" zoomScaleNormal="130" workbookViewId="0">
      <selection activeCell="I1" sqref="I1:Q1"/>
    </sheetView>
  </sheetViews>
  <sheetFormatPr defaultRowHeight="13.2" x14ac:dyDescent="0.25"/>
  <cols>
    <col min="1" max="1" width="2.42578125" customWidth="1"/>
    <col min="2" max="2" width="5.28515625" customWidth="1"/>
    <col min="3" max="3" width="8.28515625" customWidth="1"/>
    <col min="4" max="4" width="1.140625" hidden="1" customWidth="1"/>
    <col min="5" max="5" width="6" customWidth="1"/>
    <col min="6" max="6" width="37.42578125" customWidth="1"/>
    <col min="7" max="7" width="14.42578125" customWidth="1"/>
    <col min="8" max="8" width="1.140625" hidden="1" customWidth="1"/>
    <col min="9" max="9" width="13.28515625" customWidth="1"/>
    <col min="10" max="10" width="10.140625" customWidth="1"/>
    <col min="11" max="11" width="11.7109375" customWidth="1"/>
    <col min="12" max="17" width="9.28515625" hidden="1" customWidth="1"/>
    <col min="18" max="18" width="19.85546875" customWidth="1"/>
    <col min="19" max="19" width="14.7109375" customWidth="1"/>
  </cols>
  <sheetData>
    <row r="1" spans="1:17" ht="43.5" customHeight="1" x14ac:dyDescent="0.25">
      <c r="A1" s="440"/>
      <c r="B1" s="440"/>
      <c r="C1" s="440"/>
      <c r="D1" s="440"/>
      <c r="E1" s="440"/>
      <c r="F1" s="440"/>
      <c r="G1" s="440"/>
      <c r="H1" s="440"/>
      <c r="I1" s="470" t="s">
        <v>424</v>
      </c>
      <c r="J1" s="470"/>
      <c r="K1" s="470"/>
      <c r="L1" s="470"/>
      <c r="M1" s="470"/>
      <c r="N1" s="470"/>
      <c r="O1" s="470"/>
      <c r="P1" s="470"/>
      <c r="Q1" s="470"/>
    </row>
    <row r="2" spans="1:17" ht="19.5" customHeight="1" x14ac:dyDescent="0.25">
      <c r="A2" s="1"/>
      <c r="B2" s="471" t="s">
        <v>212</v>
      </c>
      <c r="C2" s="471"/>
      <c r="D2" s="471"/>
      <c r="E2" s="471"/>
      <c r="F2" s="471"/>
      <c r="G2" s="471"/>
      <c r="H2" s="471"/>
      <c r="I2" s="471"/>
      <c r="J2" s="471"/>
      <c r="K2" s="471"/>
      <c r="L2" s="3"/>
      <c r="M2" s="3"/>
      <c r="N2" s="3"/>
      <c r="O2" s="3"/>
      <c r="P2" s="3"/>
      <c r="Q2" s="3"/>
    </row>
    <row r="3" spans="1:17" ht="13.5" customHeight="1" x14ac:dyDescent="0.25">
      <c r="A3" s="1"/>
      <c r="B3" s="4"/>
      <c r="C3" s="4"/>
      <c r="D3" s="4"/>
      <c r="E3" s="471" t="s">
        <v>197</v>
      </c>
      <c r="F3" s="471"/>
      <c r="G3" s="471"/>
      <c r="H3" s="471"/>
      <c r="I3" s="471"/>
      <c r="J3" s="471"/>
      <c r="K3" s="5"/>
      <c r="L3" s="3"/>
      <c r="M3" s="3"/>
      <c r="N3" s="3"/>
      <c r="O3" s="3"/>
      <c r="P3" s="3"/>
      <c r="Q3" s="3"/>
    </row>
    <row r="4" spans="1:17" ht="15.75" customHeight="1" x14ac:dyDescent="0.25">
      <c r="A4" s="2"/>
      <c r="B4" s="472" t="s">
        <v>383</v>
      </c>
      <c r="C4" s="472"/>
      <c r="D4" s="472"/>
      <c r="E4" s="472"/>
      <c r="F4" s="472"/>
      <c r="G4" s="472"/>
      <c r="H4" s="472"/>
      <c r="I4" s="472"/>
      <c r="J4" s="472"/>
      <c r="K4" s="472"/>
    </row>
    <row r="5" spans="1:17" ht="38.25" customHeight="1" x14ac:dyDescent="0.25">
      <c r="A5" s="100"/>
      <c r="B5" s="101" t="s">
        <v>0</v>
      </c>
      <c r="C5" s="441" t="s">
        <v>1</v>
      </c>
      <c r="D5" s="441"/>
      <c r="E5" s="101" t="s">
        <v>198</v>
      </c>
      <c r="F5" s="101" t="s">
        <v>2</v>
      </c>
      <c r="G5" s="441" t="s">
        <v>195</v>
      </c>
      <c r="H5" s="442"/>
      <c r="I5" s="6" t="s">
        <v>193</v>
      </c>
      <c r="J5" s="49" t="s">
        <v>194</v>
      </c>
      <c r="K5" s="310" t="s">
        <v>196</v>
      </c>
    </row>
    <row r="6" spans="1:17" ht="12.75" customHeight="1" x14ac:dyDescent="0.25">
      <c r="A6" s="100"/>
      <c r="B6" s="101" t="s">
        <v>199</v>
      </c>
      <c r="C6" s="101" t="s">
        <v>200</v>
      </c>
      <c r="D6" s="101"/>
      <c r="E6" s="101" t="s">
        <v>201</v>
      </c>
      <c r="F6" s="101" t="s">
        <v>202</v>
      </c>
      <c r="G6" s="102" t="s">
        <v>203</v>
      </c>
      <c r="H6" s="102"/>
      <c r="I6" s="6" t="s">
        <v>204</v>
      </c>
      <c r="J6" s="6" t="s">
        <v>205</v>
      </c>
      <c r="K6" s="44" t="s">
        <v>206</v>
      </c>
    </row>
    <row r="7" spans="1:17" ht="17.100000000000001" customHeight="1" thickBot="1" x14ac:dyDescent="0.3">
      <c r="A7" s="38"/>
      <c r="B7" s="99" t="s">
        <v>3</v>
      </c>
      <c r="C7" s="443"/>
      <c r="D7" s="444"/>
      <c r="E7" s="99"/>
      <c r="F7" s="18" t="s">
        <v>4</v>
      </c>
      <c r="G7" s="157">
        <f>SUM(G8+G10+G14+G12)</f>
        <v>3832871.04</v>
      </c>
      <c r="H7" s="157">
        <f t="shared" ref="H7:I7" si="0">SUM(H8+H10+H14+H12)</f>
        <v>582135.21</v>
      </c>
      <c r="I7" s="157">
        <f t="shared" si="0"/>
        <v>808030.02</v>
      </c>
      <c r="J7" s="19">
        <f>SUM(I7/G7)</f>
        <v>0.21081586402656532</v>
      </c>
      <c r="K7" s="16">
        <f>SUM(K8+K10+K14)</f>
        <v>0</v>
      </c>
    </row>
    <row r="8" spans="1:17" ht="12.75" customHeight="1" thickTop="1" x14ac:dyDescent="0.25">
      <c r="A8" s="38"/>
      <c r="B8" s="20"/>
      <c r="C8" s="446" t="s">
        <v>336</v>
      </c>
      <c r="D8" s="447"/>
      <c r="E8" s="115"/>
      <c r="F8" s="69" t="s">
        <v>337</v>
      </c>
      <c r="G8" s="158">
        <v>100000</v>
      </c>
      <c r="H8" s="159" t="s">
        <v>260</v>
      </c>
      <c r="I8" s="53">
        <v>0</v>
      </c>
      <c r="J8" s="116">
        <f>SUM(I8/G8)</f>
        <v>0</v>
      </c>
      <c r="K8" s="53">
        <v>0</v>
      </c>
    </row>
    <row r="9" spans="1:17" ht="54" customHeight="1" x14ac:dyDescent="0.25">
      <c r="A9" s="38"/>
      <c r="B9" s="98"/>
      <c r="C9" s="428"/>
      <c r="D9" s="445"/>
      <c r="E9" s="98" t="s">
        <v>172</v>
      </c>
      <c r="F9" s="21" t="s">
        <v>173</v>
      </c>
      <c r="G9" s="160">
        <v>100000</v>
      </c>
      <c r="H9" s="160" t="s">
        <v>261</v>
      </c>
      <c r="I9" s="22">
        <v>0</v>
      </c>
      <c r="J9" s="23">
        <f t="shared" ref="J9:J41" si="1">I9/G9</f>
        <v>0</v>
      </c>
      <c r="K9" s="22">
        <v>0</v>
      </c>
    </row>
    <row r="10" spans="1:17" ht="12.75" customHeight="1" x14ac:dyDescent="0.25">
      <c r="A10" s="38"/>
      <c r="B10" s="20"/>
      <c r="C10" s="416" t="s">
        <v>13</v>
      </c>
      <c r="D10" s="416"/>
      <c r="E10" s="27"/>
      <c r="F10" s="28" t="s">
        <v>14</v>
      </c>
      <c r="G10" s="161">
        <f>SUM(G11)</f>
        <v>14474.54</v>
      </c>
      <c r="H10" s="162" t="s">
        <v>262</v>
      </c>
      <c r="I10" s="33">
        <f>SUM(I11)</f>
        <v>8960.5</v>
      </c>
      <c r="J10" s="32">
        <f t="shared" si="1"/>
        <v>0.61905248802379897</v>
      </c>
      <c r="K10" s="50">
        <v>0</v>
      </c>
    </row>
    <row r="11" spans="1:17" ht="34.5" customHeight="1" x14ac:dyDescent="0.25">
      <c r="A11" s="38"/>
      <c r="B11" s="98"/>
      <c r="C11" s="413"/>
      <c r="D11" s="413"/>
      <c r="E11" s="30" t="s">
        <v>15</v>
      </c>
      <c r="F11" s="31" t="s">
        <v>16</v>
      </c>
      <c r="G11" s="162">
        <v>14474.54</v>
      </c>
      <c r="H11" s="162" t="s">
        <v>262</v>
      </c>
      <c r="I11" s="12">
        <v>8960.5</v>
      </c>
      <c r="J11" s="32">
        <f t="shared" si="1"/>
        <v>0.61905248802379897</v>
      </c>
      <c r="K11" s="52">
        <v>0</v>
      </c>
    </row>
    <row r="12" spans="1:17" s="341" customFormat="1" ht="15.6" customHeight="1" x14ac:dyDescent="0.25">
      <c r="A12" s="38"/>
      <c r="B12" s="335"/>
      <c r="C12" s="416" t="s">
        <v>384</v>
      </c>
      <c r="D12" s="416"/>
      <c r="E12" s="27"/>
      <c r="F12" s="28" t="s">
        <v>385</v>
      </c>
      <c r="G12" s="161">
        <f>SUM(G13)</f>
        <v>2920226.98</v>
      </c>
      <c r="H12" s="161">
        <f t="shared" ref="H12:I12" si="2">SUM(H13)</f>
        <v>0</v>
      </c>
      <c r="I12" s="161">
        <f t="shared" si="2"/>
        <v>900</v>
      </c>
      <c r="J12" s="32">
        <f t="shared" ref="J12:J13" si="3">I12/G12</f>
        <v>3.0819522118106038E-4</v>
      </c>
      <c r="K12" s="50">
        <v>0</v>
      </c>
    </row>
    <row r="13" spans="1:17" s="341" customFormat="1" ht="28.2" customHeight="1" x14ac:dyDescent="0.25">
      <c r="A13" s="38"/>
      <c r="B13" s="335"/>
      <c r="C13" s="413"/>
      <c r="D13" s="413"/>
      <c r="E13" s="30" t="s">
        <v>17</v>
      </c>
      <c r="F13" s="31" t="s">
        <v>18</v>
      </c>
      <c r="G13" s="162">
        <v>2920226.98</v>
      </c>
      <c r="H13" s="162" t="s">
        <v>262</v>
      </c>
      <c r="I13" s="12">
        <v>900</v>
      </c>
      <c r="J13" s="32">
        <f t="shared" si="3"/>
        <v>3.0819522118106038E-4</v>
      </c>
      <c r="K13" s="52">
        <v>0</v>
      </c>
    </row>
    <row r="14" spans="1:17" ht="15" customHeight="1" x14ac:dyDescent="0.25">
      <c r="A14" s="38"/>
      <c r="B14" s="20"/>
      <c r="C14" s="416" t="s">
        <v>19</v>
      </c>
      <c r="D14" s="416"/>
      <c r="E14" s="27"/>
      <c r="F14" s="28" t="s">
        <v>20</v>
      </c>
      <c r="G14" s="161">
        <f>SUM(G15+G16+G17+G18+G19+G20+G21)</f>
        <v>798169.52</v>
      </c>
      <c r="H14" s="161">
        <f t="shared" ref="H14:I14" si="4">SUM(H15+H16+H17+H18+H19+H20+H21)</f>
        <v>541432.89</v>
      </c>
      <c r="I14" s="161">
        <f t="shared" si="4"/>
        <v>798169.52</v>
      </c>
      <c r="J14" s="29">
        <f t="shared" si="1"/>
        <v>1</v>
      </c>
      <c r="K14" s="50">
        <f>SUM(K18:K20)</f>
        <v>0</v>
      </c>
    </row>
    <row r="15" spans="1:17" ht="15.6" customHeight="1" x14ac:dyDescent="0.25">
      <c r="A15" s="38"/>
      <c r="B15" s="20"/>
      <c r="C15" s="58"/>
      <c r="D15" s="58"/>
      <c r="E15" s="74" t="s">
        <v>5</v>
      </c>
      <c r="F15" s="70" t="s">
        <v>6</v>
      </c>
      <c r="G15" s="163">
        <v>5164.4399999999996</v>
      </c>
      <c r="H15" s="162"/>
      <c r="I15" s="22">
        <v>5164.4399999999996</v>
      </c>
      <c r="J15" s="37">
        <f t="shared" si="1"/>
        <v>1</v>
      </c>
      <c r="K15" s="51">
        <v>0</v>
      </c>
    </row>
    <row r="16" spans="1:17" ht="17.100000000000001" customHeight="1" x14ac:dyDescent="0.25">
      <c r="A16" s="38"/>
      <c r="B16" s="20"/>
      <c r="C16" s="58"/>
      <c r="D16" s="58"/>
      <c r="E16" s="98" t="s">
        <v>9</v>
      </c>
      <c r="F16" s="21" t="s">
        <v>10</v>
      </c>
      <c r="G16" s="160">
        <v>883.11</v>
      </c>
      <c r="H16" s="162" t="s">
        <v>245</v>
      </c>
      <c r="I16" s="22">
        <v>883.11</v>
      </c>
      <c r="J16" s="23">
        <f t="shared" si="1"/>
        <v>1</v>
      </c>
      <c r="K16" s="51">
        <v>0</v>
      </c>
    </row>
    <row r="17" spans="1:20" ht="24" customHeight="1" x14ac:dyDescent="0.25">
      <c r="A17" s="38"/>
      <c r="B17" s="20"/>
      <c r="C17" s="58"/>
      <c r="D17" s="58"/>
      <c r="E17" s="98" t="s">
        <v>21</v>
      </c>
      <c r="F17" s="21" t="s">
        <v>371</v>
      </c>
      <c r="G17" s="160">
        <v>126.51</v>
      </c>
      <c r="H17" s="162" t="s">
        <v>246</v>
      </c>
      <c r="I17" s="22">
        <v>126.51</v>
      </c>
      <c r="J17" s="23">
        <f t="shared" si="1"/>
        <v>1</v>
      </c>
      <c r="K17" s="51">
        <v>0</v>
      </c>
    </row>
    <row r="18" spans="1:20" ht="17.100000000000001" customHeight="1" x14ac:dyDescent="0.25">
      <c r="A18" s="38"/>
      <c r="B18" s="98"/>
      <c r="C18" s="413"/>
      <c r="D18" s="413"/>
      <c r="E18" s="98" t="s">
        <v>24</v>
      </c>
      <c r="F18" s="21" t="s">
        <v>25</v>
      </c>
      <c r="G18" s="160">
        <v>1285.72</v>
      </c>
      <c r="H18" s="162" t="s">
        <v>263</v>
      </c>
      <c r="I18" s="22">
        <v>1285.72</v>
      </c>
      <c r="J18" s="23">
        <f t="shared" si="1"/>
        <v>1</v>
      </c>
      <c r="K18" s="51">
        <v>0</v>
      </c>
    </row>
    <row r="19" spans="1:20" ht="17.100000000000001" customHeight="1" x14ac:dyDescent="0.25">
      <c r="A19" s="38"/>
      <c r="B19" s="98"/>
      <c r="C19" s="413"/>
      <c r="D19" s="413"/>
      <c r="E19" s="98" t="s">
        <v>26</v>
      </c>
      <c r="F19" s="21" t="s">
        <v>27</v>
      </c>
      <c r="G19" s="160">
        <v>7760.6</v>
      </c>
      <c r="H19" s="162" t="s">
        <v>264</v>
      </c>
      <c r="I19" s="22">
        <v>7760.6</v>
      </c>
      <c r="J19" s="23">
        <f t="shared" si="1"/>
        <v>1</v>
      </c>
      <c r="K19" s="51">
        <v>0</v>
      </c>
    </row>
    <row r="20" spans="1:20" ht="17.100000000000001" customHeight="1" x14ac:dyDescent="0.25">
      <c r="A20" s="38"/>
      <c r="B20" s="98"/>
      <c r="C20" s="413"/>
      <c r="D20" s="413"/>
      <c r="E20" s="335" t="s">
        <v>28</v>
      </c>
      <c r="F20" s="21" t="s">
        <v>29</v>
      </c>
      <c r="G20" s="160">
        <v>782519.14</v>
      </c>
      <c r="H20" s="163" t="s">
        <v>265</v>
      </c>
      <c r="I20" s="245">
        <v>782519.14</v>
      </c>
      <c r="J20" s="246">
        <f>I20/G20</f>
        <v>1</v>
      </c>
      <c r="K20" s="51">
        <v>0</v>
      </c>
    </row>
    <row r="21" spans="1:20" s="341" customFormat="1" ht="25.2" customHeight="1" x14ac:dyDescent="0.25">
      <c r="A21" s="38"/>
      <c r="B21" s="335"/>
      <c r="C21" s="335"/>
      <c r="D21" s="335"/>
      <c r="E21" s="335" t="s">
        <v>54</v>
      </c>
      <c r="F21" s="222" t="s">
        <v>349</v>
      </c>
      <c r="G21" s="160">
        <v>430</v>
      </c>
      <c r="H21" s="302"/>
      <c r="I21" s="245">
        <v>430</v>
      </c>
      <c r="J21" s="246">
        <f>I21/G21</f>
        <v>1</v>
      </c>
      <c r="K21" s="51">
        <v>0</v>
      </c>
    </row>
    <row r="22" spans="1:20" s="341" customFormat="1" ht="25.2" customHeight="1" thickBot="1" x14ac:dyDescent="0.3">
      <c r="A22" s="38"/>
      <c r="B22" s="340" t="s">
        <v>386</v>
      </c>
      <c r="C22" s="431"/>
      <c r="D22" s="431"/>
      <c r="E22" s="340"/>
      <c r="F22" s="370" t="s">
        <v>388</v>
      </c>
      <c r="G22" s="436">
        <f>SUM(G23)</f>
        <v>103740</v>
      </c>
      <c r="H22" s="437"/>
      <c r="I22" s="16">
        <f>SUM(I23)</f>
        <v>0</v>
      </c>
      <c r="J22" s="19">
        <f t="shared" ref="J22:J25" si="5">I22/G22</f>
        <v>0</v>
      </c>
      <c r="K22" s="16">
        <f>SUM(K23)</f>
        <v>0</v>
      </c>
    </row>
    <row r="23" spans="1:20" s="341" customFormat="1" ht="17.399999999999999" customHeight="1" thickTop="1" x14ac:dyDescent="0.25">
      <c r="A23" s="38"/>
      <c r="B23" s="20"/>
      <c r="C23" s="448" t="s">
        <v>387</v>
      </c>
      <c r="D23" s="448"/>
      <c r="E23" s="137"/>
      <c r="F23" s="69" t="s">
        <v>20</v>
      </c>
      <c r="G23" s="165">
        <f>SUM(G25+G24)</f>
        <v>103740</v>
      </c>
      <c r="H23" s="165">
        <f t="shared" ref="H23:I23" si="6">SUM(H25+H24)</f>
        <v>670.83</v>
      </c>
      <c r="I23" s="165">
        <f t="shared" si="6"/>
        <v>0</v>
      </c>
      <c r="J23" s="144">
        <f t="shared" si="5"/>
        <v>0</v>
      </c>
      <c r="K23" s="139">
        <f>SUM(K24+K25)</f>
        <v>0</v>
      </c>
    </row>
    <row r="24" spans="1:20" s="341" customFormat="1" ht="18" customHeight="1" x14ac:dyDescent="0.25">
      <c r="A24" s="38"/>
      <c r="B24" s="344"/>
      <c r="C24" s="450"/>
      <c r="D24" s="450"/>
      <c r="E24" s="303" t="s">
        <v>26</v>
      </c>
      <c r="F24" s="244" t="s">
        <v>27</v>
      </c>
      <c r="G24" s="372">
        <v>14760</v>
      </c>
      <c r="H24" s="372" t="s">
        <v>266</v>
      </c>
      <c r="I24" s="36">
        <v>0</v>
      </c>
      <c r="J24" s="37">
        <f t="shared" si="5"/>
        <v>0</v>
      </c>
      <c r="K24" s="373">
        <v>0</v>
      </c>
    </row>
    <row r="25" spans="1:20" s="341" customFormat="1" ht="25.2" customHeight="1" x14ac:dyDescent="0.25">
      <c r="A25" s="38"/>
      <c r="B25" s="335"/>
      <c r="C25" s="335"/>
      <c r="D25" s="335"/>
      <c r="E25" s="335" t="s">
        <v>391</v>
      </c>
      <c r="F25" s="381" t="s">
        <v>400</v>
      </c>
      <c r="G25" s="160">
        <v>88980</v>
      </c>
      <c r="H25" s="302"/>
      <c r="I25" s="245">
        <v>0</v>
      </c>
      <c r="J25" s="246">
        <f t="shared" si="5"/>
        <v>0</v>
      </c>
      <c r="K25" s="51">
        <v>0</v>
      </c>
    </row>
    <row r="26" spans="1:20" ht="17.100000000000001" customHeight="1" thickBot="1" x14ac:dyDescent="0.3">
      <c r="A26" s="38"/>
      <c r="B26" s="99" t="s">
        <v>30</v>
      </c>
      <c r="C26" s="431"/>
      <c r="D26" s="431"/>
      <c r="E26" s="263"/>
      <c r="F26" s="18" t="s">
        <v>31</v>
      </c>
      <c r="G26" s="436">
        <f>SUM(G29+G31+G34+G27)</f>
        <v>9690883.4000000004</v>
      </c>
      <c r="H26" s="437"/>
      <c r="I26" s="16">
        <f>SUM(I29+I31+I34+I27)</f>
        <v>1538105.41</v>
      </c>
      <c r="J26" s="19">
        <f t="shared" si="1"/>
        <v>0.15871673886820264</v>
      </c>
      <c r="K26" s="16">
        <f>SUM(K29+K31+K34)</f>
        <v>54169.2</v>
      </c>
    </row>
    <row r="27" spans="1:20" s="341" customFormat="1" ht="17.100000000000001" customHeight="1" thickTop="1" x14ac:dyDescent="0.25">
      <c r="A27" s="38"/>
      <c r="B27" s="107"/>
      <c r="C27" s="68" t="s">
        <v>389</v>
      </c>
      <c r="D27" s="68"/>
      <c r="E27" s="68"/>
      <c r="F27" s="69" t="s">
        <v>390</v>
      </c>
      <c r="G27" s="346">
        <f>SUM(G28)</f>
        <v>1000</v>
      </c>
      <c r="H27" s="346">
        <f t="shared" ref="H27:I27" si="7">SUM(H28)</f>
        <v>0</v>
      </c>
      <c r="I27" s="346">
        <f t="shared" si="7"/>
        <v>0</v>
      </c>
      <c r="J27" s="380">
        <f>SUM(I27/G27)</f>
        <v>0</v>
      </c>
      <c r="K27" s="53">
        <v>0</v>
      </c>
    </row>
    <row r="28" spans="1:20" s="341" customFormat="1" ht="17.100000000000001" customHeight="1" x14ac:dyDescent="0.25">
      <c r="A28" s="38"/>
      <c r="B28" s="107"/>
      <c r="C28" s="374"/>
      <c r="D28" s="374"/>
      <c r="E28" s="375" t="s">
        <v>24</v>
      </c>
      <c r="F28" s="376" t="s">
        <v>25</v>
      </c>
      <c r="G28" s="377">
        <v>1000</v>
      </c>
      <c r="H28" s="378"/>
      <c r="I28" s="379">
        <v>0</v>
      </c>
      <c r="J28" s="26">
        <f>SUM(I28/G28)</f>
        <v>0</v>
      </c>
      <c r="K28" s="12">
        <v>0</v>
      </c>
    </row>
    <row r="29" spans="1:20" ht="17.100000000000001" customHeight="1" x14ac:dyDescent="0.25">
      <c r="A29" s="38"/>
      <c r="B29" s="20"/>
      <c r="C29" s="448" t="s">
        <v>32</v>
      </c>
      <c r="D29" s="448"/>
      <c r="E29" s="137"/>
      <c r="F29" s="138" t="s">
        <v>33</v>
      </c>
      <c r="G29" s="165">
        <f>SUM(G30)</f>
        <v>1182.4000000000001</v>
      </c>
      <c r="H29" s="165">
        <f t="shared" ref="H29:I29" si="8">SUM(H30)</f>
        <v>0</v>
      </c>
      <c r="I29" s="165">
        <f t="shared" si="8"/>
        <v>1182.4000000000001</v>
      </c>
      <c r="J29" s="144">
        <f t="shared" si="1"/>
        <v>1</v>
      </c>
      <c r="K29" s="139">
        <v>0</v>
      </c>
    </row>
    <row r="30" spans="1:20" ht="22.5" customHeight="1" x14ac:dyDescent="0.25">
      <c r="A30" s="38"/>
      <c r="B30" s="132"/>
      <c r="C30" s="449"/>
      <c r="D30" s="449"/>
      <c r="E30" s="133" t="s">
        <v>248</v>
      </c>
      <c r="F30" s="135" t="s">
        <v>247</v>
      </c>
      <c r="G30" s="166">
        <v>1182.4000000000001</v>
      </c>
      <c r="H30" s="166" t="s">
        <v>266</v>
      </c>
      <c r="I30" s="12">
        <v>1182.4000000000001</v>
      </c>
      <c r="J30" s="32">
        <f t="shared" si="1"/>
        <v>1</v>
      </c>
      <c r="K30" s="52">
        <v>0</v>
      </c>
    </row>
    <row r="31" spans="1:20" ht="17.100000000000001" customHeight="1" x14ac:dyDescent="0.25">
      <c r="A31" s="38"/>
      <c r="B31" s="20"/>
      <c r="C31" s="448" t="s">
        <v>34</v>
      </c>
      <c r="D31" s="448"/>
      <c r="E31" s="137"/>
      <c r="F31" s="138" t="s">
        <v>35</v>
      </c>
      <c r="G31" s="165">
        <f>SUM(G32)</f>
        <v>18574.2</v>
      </c>
      <c r="H31" s="165">
        <f t="shared" ref="H31:I31" si="9">SUM(H32)</f>
        <v>0</v>
      </c>
      <c r="I31" s="165">
        <f t="shared" si="9"/>
        <v>9105.98</v>
      </c>
      <c r="J31" s="86">
        <f t="shared" si="1"/>
        <v>0.49024883978852385</v>
      </c>
      <c r="K31" s="139">
        <v>0</v>
      </c>
      <c r="T31" s="264"/>
    </row>
    <row r="32" spans="1:20" ht="24.75" customHeight="1" x14ac:dyDescent="0.25">
      <c r="A32" s="38"/>
      <c r="B32" s="132"/>
      <c r="C32" s="450"/>
      <c r="D32" s="450"/>
      <c r="E32" s="303" t="s">
        <v>248</v>
      </c>
      <c r="F32" s="371" t="s">
        <v>247</v>
      </c>
      <c r="G32" s="372">
        <v>18574.2</v>
      </c>
      <c r="H32" s="372" t="s">
        <v>267</v>
      </c>
      <c r="I32" s="36">
        <v>9105.98</v>
      </c>
      <c r="J32" s="37">
        <f t="shared" si="1"/>
        <v>0.49024883978852385</v>
      </c>
      <c r="K32" s="373">
        <v>0</v>
      </c>
    </row>
    <row r="33" spans="1:11" s="341" customFormat="1" ht="19.2" customHeight="1" x14ac:dyDescent="0.25">
      <c r="A33" s="38"/>
      <c r="B33" s="386" t="s">
        <v>199</v>
      </c>
      <c r="C33" s="386" t="s">
        <v>200</v>
      </c>
      <c r="D33" s="386"/>
      <c r="E33" s="386" t="s">
        <v>201</v>
      </c>
      <c r="F33" s="386" t="s">
        <v>202</v>
      </c>
      <c r="G33" s="387" t="s">
        <v>203</v>
      </c>
      <c r="H33" s="387"/>
      <c r="I33" s="44" t="s">
        <v>204</v>
      </c>
      <c r="J33" s="44" t="s">
        <v>205</v>
      </c>
      <c r="K33" s="44" t="s">
        <v>206</v>
      </c>
    </row>
    <row r="34" spans="1:11" ht="17.100000000000001" customHeight="1" x14ac:dyDescent="0.25">
      <c r="A34" s="38"/>
      <c r="B34" s="20"/>
      <c r="C34" s="419" t="s">
        <v>36</v>
      </c>
      <c r="D34" s="419"/>
      <c r="E34" s="39"/>
      <c r="F34" s="40" t="s">
        <v>37</v>
      </c>
      <c r="G34" s="167">
        <f>SUM(G35+G37+G36+G38+G39+G40+G41)</f>
        <v>9670126.8000000007</v>
      </c>
      <c r="H34" s="167">
        <f t="shared" ref="H34:I34" si="10">SUM(H35+H37+H36+H38+H39+H40+H41)</f>
        <v>2868889.46</v>
      </c>
      <c r="I34" s="167">
        <f t="shared" si="10"/>
        <v>1527817.03</v>
      </c>
      <c r="J34" s="41">
        <f t="shared" si="1"/>
        <v>0.15799348463558927</v>
      </c>
      <c r="K34" s="14">
        <f>SUM(K35+K36+K37+K38+K39+K40)</f>
        <v>54169.2</v>
      </c>
    </row>
    <row r="35" spans="1:11" ht="17.100000000000001" customHeight="1" x14ac:dyDescent="0.25">
      <c r="A35" s="38"/>
      <c r="B35" s="98"/>
      <c r="C35" s="413"/>
      <c r="D35" s="413"/>
      <c r="E35" s="34" t="s">
        <v>24</v>
      </c>
      <c r="F35" s="35" t="s">
        <v>25</v>
      </c>
      <c r="G35" s="163">
        <v>56657</v>
      </c>
      <c r="H35" s="162" t="s">
        <v>156</v>
      </c>
      <c r="I35" s="36">
        <v>26059.29</v>
      </c>
      <c r="J35" s="37">
        <f t="shared" si="1"/>
        <v>0.45994828529572696</v>
      </c>
      <c r="K35" s="36">
        <v>9778.5</v>
      </c>
    </row>
    <row r="36" spans="1:11" s="341" customFormat="1" ht="17.100000000000001" customHeight="1" x14ac:dyDescent="0.25">
      <c r="A36" s="38"/>
      <c r="B36" s="335"/>
      <c r="C36" s="335"/>
      <c r="D36" s="335"/>
      <c r="E36" s="335" t="s">
        <v>46</v>
      </c>
      <c r="F36" s="21" t="s">
        <v>47</v>
      </c>
      <c r="G36" s="160">
        <v>85792.43</v>
      </c>
      <c r="H36" s="162"/>
      <c r="I36" s="245">
        <v>0</v>
      </c>
      <c r="J36" s="246"/>
      <c r="K36" s="245">
        <v>0</v>
      </c>
    </row>
    <row r="37" spans="1:11" ht="14.4" customHeight="1" x14ac:dyDescent="0.25">
      <c r="A37" s="38"/>
      <c r="B37" s="98"/>
      <c r="C37" s="98"/>
      <c r="D37" s="98"/>
      <c r="E37" s="98" t="s">
        <v>26</v>
      </c>
      <c r="F37" s="9" t="s">
        <v>27</v>
      </c>
      <c r="G37" s="160">
        <v>470310.79</v>
      </c>
      <c r="H37" s="162"/>
      <c r="I37" s="22">
        <v>203308.86</v>
      </c>
      <c r="J37" s="23">
        <f t="shared" si="1"/>
        <v>0.43228619100999149</v>
      </c>
      <c r="K37" s="22">
        <v>44390.7</v>
      </c>
    </row>
    <row r="38" spans="1:11" ht="21.6" x14ac:dyDescent="0.25">
      <c r="A38" s="38"/>
      <c r="B38" s="129"/>
      <c r="C38" s="129"/>
      <c r="D38" s="129"/>
      <c r="E38" s="129" t="s">
        <v>248</v>
      </c>
      <c r="F38" s="21" t="s">
        <v>247</v>
      </c>
      <c r="G38" s="160">
        <v>1036.8399999999999</v>
      </c>
      <c r="H38" s="162"/>
      <c r="I38" s="22">
        <v>1036.8399999999999</v>
      </c>
      <c r="J38" s="23">
        <f t="shared" si="1"/>
        <v>1</v>
      </c>
      <c r="K38" s="22">
        <v>0</v>
      </c>
    </row>
    <row r="39" spans="1:11" ht="21.6" x14ac:dyDescent="0.25">
      <c r="A39" s="38"/>
      <c r="B39" s="229"/>
      <c r="C39" s="229"/>
      <c r="D39" s="229"/>
      <c r="E39" s="229" t="s">
        <v>359</v>
      </c>
      <c r="F39" s="21" t="s">
        <v>370</v>
      </c>
      <c r="G39" s="160">
        <v>136343</v>
      </c>
      <c r="H39" s="162"/>
      <c r="I39" s="22">
        <v>115930</v>
      </c>
      <c r="J39" s="23">
        <f t="shared" si="1"/>
        <v>0.85028200934408071</v>
      </c>
      <c r="K39" s="22">
        <v>0</v>
      </c>
    </row>
    <row r="40" spans="1:11" ht="21" customHeight="1" x14ac:dyDescent="0.25">
      <c r="A40" s="38"/>
      <c r="B40" s="98"/>
      <c r="C40" s="98"/>
      <c r="D40" s="98"/>
      <c r="E40" s="98" t="s">
        <v>17</v>
      </c>
      <c r="F40" s="134" t="s">
        <v>18</v>
      </c>
      <c r="G40" s="294">
        <v>8858470.8000000007</v>
      </c>
      <c r="H40" s="251" t="s">
        <v>268</v>
      </c>
      <c r="I40" s="245">
        <v>1181482.04</v>
      </c>
      <c r="J40" s="23">
        <f t="shared" si="1"/>
        <v>0.13337313704302101</v>
      </c>
      <c r="K40" s="22">
        <v>0</v>
      </c>
    </row>
    <row r="41" spans="1:11" s="341" customFormat="1" ht="80.400000000000006" customHeight="1" x14ac:dyDescent="0.25">
      <c r="A41" s="38"/>
      <c r="B41" s="65"/>
      <c r="C41" s="121"/>
      <c r="D41" s="42"/>
      <c r="E41" s="121" t="s">
        <v>393</v>
      </c>
      <c r="F41" s="381" t="s">
        <v>392</v>
      </c>
      <c r="G41" s="295">
        <v>61515.94</v>
      </c>
      <c r="H41" s="180"/>
      <c r="I41" s="245">
        <v>0</v>
      </c>
      <c r="J41" s="246">
        <f t="shared" si="1"/>
        <v>0</v>
      </c>
      <c r="K41" s="245">
        <v>0</v>
      </c>
    </row>
    <row r="42" spans="1:11" ht="15" customHeight="1" thickBot="1" x14ac:dyDescent="0.3">
      <c r="A42" s="38"/>
      <c r="B42" s="103" t="s">
        <v>38</v>
      </c>
      <c r="C42" s="435"/>
      <c r="D42" s="435"/>
      <c r="E42" s="103"/>
      <c r="F42" s="59" t="s">
        <v>39</v>
      </c>
      <c r="G42" s="426">
        <f>G43</f>
        <v>82593.8</v>
      </c>
      <c r="H42" s="427"/>
      <c r="I42" s="60">
        <f>I43</f>
        <v>18265.88</v>
      </c>
      <c r="J42" s="61">
        <f t="shared" ref="J42:J65" si="11">I42/G42</f>
        <v>0.22115316161745796</v>
      </c>
      <c r="K42" s="60">
        <f>SUM(K43)</f>
        <v>0</v>
      </c>
    </row>
    <row r="43" spans="1:11" ht="14.4" customHeight="1" thickTop="1" x14ac:dyDescent="0.25">
      <c r="A43" s="38"/>
      <c r="B43" s="20"/>
      <c r="C43" s="419" t="s">
        <v>40</v>
      </c>
      <c r="D43" s="419"/>
      <c r="E43" s="39"/>
      <c r="F43" s="40" t="s">
        <v>41</v>
      </c>
      <c r="G43" s="424">
        <f>SUM(G44:H45)</f>
        <v>82593.8</v>
      </c>
      <c r="H43" s="425"/>
      <c r="I43" s="14">
        <f>SUM(I44:I45)</f>
        <v>18265.88</v>
      </c>
      <c r="J43" s="41">
        <f t="shared" si="11"/>
        <v>0.22115316161745796</v>
      </c>
      <c r="K43" s="14">
        <f>SUM(K44:K45)</f>
        <v>0</v>
      </c>
    </row>
    <row r="44" spans="1:11" s="278" customFormat="1" ht="14.4" customHeight="1" x14ac:dyDescent="0.25">
      <c r="A44" s="38"/>
      <c r="B44" s="20"/>
      <c r="C44" s="275"/>
      <c r="D44" s="275"/>
      <c r="E44" s="74" t="s">
        <v>26</v>
      </c>
      <c r="F44" s="9" t="s">
        <v>27</v>
      </c>
      <c r="G44" s="269">
        <v>40000</v>
      </c>
      <c r="H44" s="270"/>
      <c r="I44" s="245">
        <v>5265.88</v>
      </c>
      <c r="J44" s="246">
        <f t="shared" si="11"/>
        <v>0.13164700000000001</v>
      </c>
      <c r="K44" s="245">
        <v>0</v>
      </c>
    </row>
    <row r="45" spans="1:11" ht="22.2" customHeight="1" x14ac:dyDescent="0.25">
      <c r="A45" s="38"/>
      <c r="B45" s="98"/>
      <c r="C45" s="413"/>
      <c r="D45" s="413"/>
      <c r="E45" s="268" t="s">
        <v>17</v>
      </c>
      <c r="F45" s="134" t="s">
        <v>18</v>
      </c>
      <c r="G45" s="414">
        <v>42593.8</v>
      </c>
      <c r="H45" s="415"/>
      <c r="I45" s="22">
        <v>13000</v>
      </c>
      <c r="J45" s="26">
        <f t="shared" si="11"/>
        <v>0.30520873930008591</v>
      </c>
      <c r="K45" s="22">
        <v>0</v>
      </c>
    </row>
    <row r="46" spans="1:11" ht="17.100000000000001" customHeight="1" thickBot="1" x14ac:dyDescent="0.3">
      <c r="A46" s="38"/>
      <c r="B46" s="99" t="s">
        <v>42</v>
      </c>
      <c r="C46" s="431"/>
      <c r="D46" s="431"/>
      <c r="E46" s="99"/>
      <c r="F46" s="18" t="s">
        <v>43</v>
      </c>
      <c r="G46" s="436">
        <f>SUM(G47+G49)</f>
        <v>57920</v>
      </c>
      <c r="H46" s="437"/>
      <c r="I46" s="16">
        <f>I47+I49</f>
        <v>6507.2</v>
      </c>
      <c r="J46" s="19">
        <f t="shared" si="11"/>
        <v>0.11234806629834254</v>
      </c>
      <c r="K46" s="16">
        <f>SUM(K47)</f>
        <v>0</v>
      </c>
    </row>
    <row r="47" spans="1:11" ht="17.100000000000001" customHeight="1" thickTop="1" x14ac:dyDescent="0.25">
      <c r="A47" s="38"/>
      <c r="B47" s="20"/>
      <c r="C47" s="419" t="s">
        <v>44</v>
      </c>
      <c r="D47" s="419"/>
      <c r="E47" s="39"/>
      <c r="F47" s="40" t="s">
        <v>45</v>
      </c>
      <c r="G47" s="424">
        <f>SUM(G48)</f>
        <v>43000</v>
      </c>
      <c r="H47" s="425"/>
      <c r="I47" s="14">
        <f>SUM(I48)</f>
        <v>6507.2</v>
      </c>
      <c r="J47" s="41">
        <f t="shared" si="11"/>
        <v>0.15133023255813954</v>
      </c>
      <c r="K47" s="14">
        <v>0</v>
      </c>
    </row>
    <row r="48" spans="1:11" ht="17.100000000000001" customHeight="1" x14ac:dyDescent="0.25">
      <c r="A48" s="38"/>
      <c r="B48" s="98"/>
      <c r="C48" s="413"/>
      <c r="D48" s="413"/>
      <c r="E48" s="34" t="s">
        <v>26</v>
      </c>
      <c r="F48" s="35" t="s">
        <v>27</v>
      </c>
      <c r="G48" s="420">
        <v>43000</v>
      </c>
      <c r="H48" s="421"/>
      <c r="I48" s="36">
        <v>6507.2</v>
      </c>
      <c r="J48" s="37">
        <f t="shared" si="11"/>
        <v>0.15133023255813954</v>
      </c>
      <c r="K48" s="36">
        <v>0</v>
      </c>
    </row>
    <row r="49" spans="1:19" ht="17.100000000000001" customHeight="1" x14ac:dyDescent="0.25">
      <c r="A49" s="38"/>
      <c r="B49" s="236"/>
      <c r="C49" s="239" t="s">
        <v>364</v>
      </c>
      <c r="D49" s="94"/>
      <c r="E49" s="95"/>
      <c r="F49" s="96" t="s">
        <v>20</v>
      </c>
      <c r="G49" s="200">
        <f>SUM(G50)</f>
        <v>14920</v>
      </c>
      <c r="H49" s="200">
        <f t="shared" ref="H49:I49" si="12">SUM(H50)</f>
        <v>0</v>
      </c>
      <c r="I49" s="200">
        <f t="shared" si="12"/>
        <v>0</v>
      </c>
      <c r="J49" s="62">
        <f t="shared" si="11"/>
        <v>0</v>
      </c>
      <c r="K49" s="281">
        <v>0</v>
      </c>
    </row>
    <row r="50" spans="1:19" ht="17.100000000000001" customHeight="1" x14ac:dyDescent="0.25">
      <c r="A50" s="38"/>
      <c r="B50" s="229"/>
      <c r="C50" s="229"/>
      <c r="D50" s="229"/>
      <c r="E50" s="34" t="s">
        <v>26</v>
      </c>
      <c r="F50" s="35" t="s">
        <v>27</v>
      </c>
      <c r="G50" s="232">
        <v>14920</v>
      </c>
      <c r="H50" s="233"/>
      <c r="I50" s="36">
        <v>0</v>
      </c>
      <c r="J50" s="37">
        <f t="shared" si="11"/>
        <v>0</v>
      </c>
      <c r="K50" s="36">
        <v>0</v>
      </c>
    </row>
    <row r="51" spans="1:19" ht="17.100000000000001" customHeight="1" thickBot="1" x14ac:dyDescent="0.3">
      <c r="A51" s="38"/>
      <c r="B51" s="99" t="s">
        <v>48</v>
      </c>
      <c r="C51" s="431"/>
      <c r="D51" s="431"/>
      <c r="E51" s="99"/>
      <c r="F51" s="18" t="s">
        <v>49</v>
      </c>
      <c r="G51" s="436">
        <f>SUM(G52+G61+G66+G92+G95+G113)</f>
        <v>7116548.4700000007</v>
      </c>
      <c r="H51" s="437"/>
      <c r="I51" s="16">
        <f>SUM(I52+I61+I66+I92+I95+I113)</f>
        <v>3370578.1399999997</v>
      </c>
      <c r="J51" s="19">
        <f t="shared" si="11"/>
        <v>0.47362540341132525</v>
      </c>
      <c r="K51" s="16">
        <f>SUM(K52+K61+K66+K92+K95+K113)</f>
        <v>14094.2</v>
      </c>
    </row>
    <row r="52" spans="1:19" ht="17.100000000000001" customHeight="1" thickTop="1" x14ac:dyDescent="0.25">
      <c r="A52" s="38"/>
      <c r="B52" s="20"/>
      <c r="C52" s="419" t="s">
        <v>50</v>
      </c>
      <c r="D52" s="419"/>
      <c r="E52" s="39"/>
      <c r="F52" s="40" t="s">
        <v>51</v>
      </c>
      <c r="G52" s="438">
        <f>SUM(G53+G54+G55+G56+G57+G58+G59+G60)</f>
        <v>188230.88999999998</v>
      </c>
      <c r="H52" s="439"/>
      <c r="I52" s="53">
        <f>SUM(I53+I54+I55+I56+I57+I58+I59+I60)</f>
        <v>96034.93</v>
      </c>
      <c r="J52" s="116">
        <f>I52/G52</f>
        <v>0.51019750265219488</v>
      </c>
      <c r="K52" s="53">
        <f>SUM(K53:K60)</f>
        <v>276.89</v>
      </c>
    </row>
    <row r="53" spans="1:19" ht="15.6" customHeight="1" x14ac:dyDescent="0.25">
      <c r="A53" s="38"/>
      <c r="B53" s="98"/>
      <c r="C53" s="413"/>
      <c r="D53" s="413"/>
      <c r="E53" s="98" t="s">
        <v>5</v>
      </c>
      <c r="F53" s="21" t="s">
        <v>6</v>
      </c>
      <c r="G53" s="414">
        <v>120183.2</v>
      </c>
      <c r="H53" s="415"/>
      <c r="I53" s="22">
        <v>61318.57</v>
      </c>
      <c r="J53" s="23">
        <f t="shared" si="11"/>
        <v>0.51020916400961203</v>
      </c>
      <c r="K53" s="22">
        <v>0</v>
      </c>
    </row>
    <row r="54" spans="1:19" ht="12" customHeight="1" x14ac:dyDescent="0.25">
      <c r="A54" s="38"/>
      <c r="B54" s="98"/>
      <c r="C54" s="413"/>
      <c r="D54" s="413"/>
      <c r="E54" s="98" t="s">
        <v>7</v>
      </c>
      <c r="F54" s="21" t="s">
        <v>8</v>
      </c>
      <c r="G54" s="414">
        <v>9416.9699999999993</v>
      </c>
      <c r="H54" s="415"/>
      <c r="I54" s="22">
        <v>9416.9699999999993</v>
      </c>
      <c r="J54" s="23">
        <f t="shared" si="11"/>
        <v>1</v>
      </c>
      <c r="K54" s="22">
        <v>0</v>
      </c>
    </row>
    <row r="55" spans="1:19" ht="13.5" customHeight="1" x14ac:dyDescent="0.25">
      <c r="A55" s="38"/>
      <c r="B55" s="98"/>
      <c r="C55" s="413"/>
      <c r="D55" s="413"/>
      <c r="E55" s="98" t="s">
        <v>9</v>
      </c>
      <c r="F55" s="21" t="s">
        <v>10</v>
      </c>
      <c r="G55" s="414">
        <v>19294.13</v>
      </c>
      <c r="H55" s="415"/>
      <c r="I55" s="22">
        <v>11408.05</v>
      </c>
      <c r="J55" s="23">
        <f t="shared" si="11"/>
        <v>0.59127050558900551</v>
      </c>
      <c r="K55" s="22">
        <v>0</v>
      </c>
    </row>
    <row r="56" spans="1:19" ht="24" customHeight="1" x14ac:dyDescent="0.25">
      <c r="A56" s="38"/>
      <c r="B56" s="98"/>
      <c r="C56" s="413"/>
      <c r="D56" s="413"/>
      <c r="E56" s="98" t="s">
        <v>21</v>
      </c>
      <c r="F56" s="21" t="s">
        <v>371</v>
      </c>
      <c r="G56" s="414">
        <v>3047.68</v>
      </c>
      <c r="H56" s="415"/>
      <c r="I56" s="22">
        <v>1611.63</v>
      </c>
      <c r="J56" s="23">
        <f t="shared" si="11"/>
        <v>0.52880551763964723</v>
      </c>
      <c r="K56" s="22">
        <v>0</v>
      </c>
    </row>
    <row r="57" spans="1:19" ht="12.75" customHeight="1" x14ac:dyDescent="0.25">
      <c r="A57" s="38"/>
      <c r="B57" s="98"/>
      <c r="C57" s="413"/>
      <c r="D57" s="413"/>
      <c r="E57" s="98" t="s">
        <v>24</v>
      </c>
      <c r="F57" s="21" t="s">
        <v>25</v>
      </c>
      <c r="G57" s="414">
        <v>15500</v>
      </c>
      <c r="H57" s="415"/>
      <c r="I57" s="22">
        <v>6084.23</v>
      </c>
      <c r="J57" s="23">
        <f t="shared" si="11"/>
        <v>0.39253096774193547</v>
      </c>
      <c r="K57" s="245">
        <v>80</v>
      </c>
    </row>
    <row r="58" spans="1:19" ht="13.5" customHeight="1" x14ac:dyDescent="0.25">
      <c r="A58" s="38"/>
      <c r="B58" s="98"/>
      <c r="C58" s="413"/>
      <c r="D58" s="413"/>
      <c r="E58" s="98" t="s">
        <v>26</v>
      </c>
      <c r="F58" s="21" t="s">
        <v>27</v>
      </c>
      <c r="G58" s="414">
        <v>15100</v>
      </c>
      <c r="H58" s="415"/>
      <c r="I58" s="22">
        <v>2161.75</v>
      </c>
      <c r="J58" s="23">
        <f t="shared" si="11"/>
        <v>0.14316225165562915</v>
      </c>
      <c r="K58" s="245">
        <v>196.89</v>
      </c>
    </row>
    <row r="59" spans="1:19" ht="14.25" customHeight="1" x14ac:dyDescent="0.25">
      <c r="A59" s="38"/>
      <c r="B59" s="98"/>
      <c r="C59" s="413"/>
      <c r="D59" s="413"/>
      <c r="E59" s="98" t="s">
        <v>52</v>
      </c>
      <c r="F59" s="21" t="s">
        <v>53</v>
      </c>
      <c r="G59" s="414">
        <v>700</v>
      </c>
      <c r="H59" s="415"/>
      <c r="I59" s="22">
        <v>292.05</v>
      </c>
      <c r="J59" s="23">
        <f t="shared" si="11"/>
        <v>0.4172142857142857</v>
      </c>
      <c r="K59" s="22">
        <v>0</v>
      </c>
    </row>
    <row r="60" spans="1:19" ht="22.5" customHeight="1" x14ac:dyDescent="0.25">
      <c r="A60" s="38"/>
      <c r="B60" s="98"/>
      <c r="C60" s="413"/>
      <c r="D60" s="413"/>
      <c r="E60" s="98" t="s">
        <v>11</v>
      </c>
      <c r="F60" s="21" t="s">
        <v>12</v>
      </c>
      <c r="G60" s="414">
        <v>4988.91</v>
      </c>
      <c r="H60" s="415"/>
      <c r="I60" s="22">
        <v>3741.68</v>
      </c>
      <c r="J60" s="23">
        <f t="shared" si="11"/>
        <v>0.74999949888853479</v>
      </c>
      <c r="K60" s="22">
        <v>0</v>
      </c>
    </row>
    <row r="61" spans="1:19" ht="21.6" customHeight="1" x14ac:dyDescent="0.25">
      <c r="A61" s="38"/>
      <c r="B61" s="20"/>
      <c r="C61" s="416" t="s">
        <v>56</v>
      </c>
      <c r="D61" s="416"/>
      <c r="E61" s="27"/>
      <c r="F61" s="28" t="s">
        <v>57</v>
      </c>
      <c r="G61" s="417">
        <f>SUM(G62+G63+G64+G65)</f>
        <v>374100</v>
      </c>
      <c r="H61" s="418"/>
      <c r="I61" s="33">
        <f>SUM(I62+I63+I64+I65)</f>
        <v>197946.02</v>
      </c>
      <c r="J61" s="29">
        <f t="shared" si="11"/>
        <v>0.52912595562683773</v>
      </c>
      <c r="K61" s="33">
        <f>SUM(K62+K63+K64+K65)</f>
        <v>288.02999999999997</v>
      </c>
    </row>
    <row r="62" spans="1:19" ht="17.100000000000001" customHeight="1" x14ac:dyDescent="0.25">
      <c r="A62" s="38"/>
      <c r="B62" s="98"/>
      <c r="C62" s="413"/>
      <c r="D62" s="413"/>
      <c r="E62" s="34" t="s">
        <v>58</v>
      </c>
      <c r="F62" s="35" t="s">
        <v>59</v>
      </c>
      <c r="G62" s="420">
        <v>354400</v>
      </c>
      <c r="H62" s="421"/>
      <c r="I62" s="36">
        <v>193042.27</v>
      </c>
      <c r="J62" s="62">
        <f t="shared" si="11"/>
        <v>0.54470166478555304</v>
      </c>
      <c r="K62" s="36">
        <v>0</v>
      </c>
    </row>
    <row r="63" spans="1:19" ht="13.8" customHeight="1" x14ac:dyDescent="0.25">
      <c r="A63" s="38"/>
      <c r="B63" s="98"/>
      <c r="C63" s="413"/>
      <c r="D63" s="413"/>
      <c r="E63" s="268" t="s">
        <v>24</v>
      </c>
      <c r="F63" s="21" t="s">
        <v>25</v>
      </c>
      <c r="G63" s="414">
        <v>500</v>
      </c>
      <c r="H63" s="415"/>
      <c r="I63" s="245">
        <v>17.989999999999998</v>
      </c>
      <c r="J63" s="86">
        <f t="shared" si="11"/>
        <v>3.5979999999999998E-2</v>
      </c>
      <c r="K63" s="245">
        <v>0</v>
      </c>
      <c r="S63" s="278"/>
    </row>
    <row r="64" spans="1:19" s="278" customFormat="1" ht="13.8" customHeight="1" x14ac:dyDescent="0.25">
      <c r="A64" s="38"/>
      <c r="B64" s="268"/>
      <c r="C64" s="268"/>
      <c r="D64" s="268"/>
      <c r="E64" s="268" t="s">
        <v>26</v>
      </c>
      <c r="F64" s="21" t="s">
        <v>27</v>
      </c>
      <c r="G64" s="269">
        <v>18600</v>
      </c>
      <c r="H64" s="270"/>
      <c r="I64" s="245">
        <v>4715.51</v>
      </c>
      <c r="J64" s="86">
        <f t="shared" si="11"/>
        <v>0.25352204301075271</v>
      </c>
      <c r="K64" s="245">
        <v>288.02999999999997</v>
      </c>
    </row>
    <row r="65" spans="1:11" s="278" customFormat="1" ht="13.8" customHeight="1" x14ac:dyDescent="0.25">
      <c r="A65" s="38"/>
      <c r="B65" s="268"/>
      <c r="C65" s="268"/>
      <c r="D65" s="268"/>
      <c r="E65" s="268" t="s">
        <v>52</v>
      </c>
      <c r="F65" s="21" t="s">
        <v>53</v>
      </c>
      <c r="G65" s="271">
        <v>600</v>
      </c>
      <c r="H65" s="272"/>
      <c r="I65" s="13">
        <v>170.25</v>
      </c>
      <c r="J65" s="86">
        <f t="shared" si="11"/>
        <v>0.28375</v>
      </c>
      <c r="K65" s="13">
        <v>0</v>
      </c>
    </row>
    <row r="66" spans="1:11" ht="23.4" customHeight="1" x14ac:dyDescent="0.25">
      <c r="A66" s="38"/>
      <c r="B66" s="20"/>
      <c r="C66" s="416" t="s">
        <v>60</v>
      </c>
      <c r="D66" s="416"/>
      <c r="E66" s="27"/>
      <c r="F66" s="28" t="s">
        <v>61</v>
      </c>
      <c r="G66" s="417">
        <f>SUM(G67+G68+G70+G71+G72+G73+G74+G75+G76+G78+G79+G80+G83+G85+G86+G87+G88+G82+G90+G77+G81+G84+G89+G91)</f>
        <v>5904099.5900000008</v>
      </c>
      <c r="H66" s="418"/>
      <c r="I66" s="33">
        <f>SUM(I67+I68+I70+I71+I72+I73+I74+I75+I76+I78+I79+I80+I83+I85+I86+I87+I88+I82+I90+I77+I81+I84+I89+I91)</f>
        <v>2768755.65</v>
      </c>
      <c r="J66" s="29">
        <f t="shared" ref="J66:J84" si="13">I66/G66</f>
        <v>0.46895476741102865</v>
      </c>
      <c r="K66" s="33">
        <f>K76+K79+K82+K88+K80+K78</f>
        <v>12153.800000000001</v>
      </c>
    </row>
    <row r="67" spans="1:11" ht="24" customHeight="1" x14ac:dyDescent="0.25">
      <c r="A67" s="38"/>
      <c r="B67" s="98"/>
      <c r="C67" s="413"/>
      <c r="D67" s="413"/>
      <c r="E67" s="34" t="s">
        <v>62</v>
      </c>
      <c r="F67" s="35" t="s">
        <v>63</v>
      </c>
      <c r="G67" s="163">
        <v>5000</v>
      </c>
      <c r="H67" s="162" t="s">
        <v>85</v>
      </c>
      <c r="I67" s="36">
        <v>2483.4</v>
      </c>
      <c r="J67" s="37">
        <f t="shared" si="13"/>
        <v>0.49668000000000001</v>
      </c>
      <c r="K67" s="36">
        <v>0</v>
      </c>
    </row>
    <row r="68" spans="1:11" ht="17.100000000000001" customHeight="1" x14ac:dyDescent="0.25">
      <c r="A68" s="38"/>
      <c r="B68" s="98"/>
      <c r="C68" s="413"/>
      <c r="D68" s="413"/>
      <c r="E68" s="98" t="s">
        <v>5</v>
      </c>
      <c r="F68" s="21" t="s">
        <v>6</v>
      </c>
      <c r="G68" s="160">
        <v>3466809.16</v>
      </c>
      <c r="H68" s="162" t="s">
        <v>275</v>
      </c>
      <c r="I68" s="22">
        <v>1638014.86</v>
      </c>
      <c r="J68" s="23">
        <f t="shared" si="13"/>
        <v>0.47248486559323616</v>
      </c>
      <c r="K68" s="22">
        <v>0</v>
      </c>
    </row>
    <row r="69" spans="1:11" s="341" customFormat="1" ht="17.100000000000001" customHeight="1" x14ac:dyDescent="0.25">
      <c r="A69" s="38"/>
      <c r="B69" s="43" t="s">
        <v>199</v>
      </c>
      <c r="C69" s="43" t="s">
        <v>200</v>
      </c>
      <c r="D69" s="43"/>
      <c r="E69" s="43" t="s">
        <v>201</v>
      </c>
      <c r="F69" s="43" t="s">
        <v>202</v>
      </c>
      <c r="G69" s="57" t="s">
        <v>203</v>
      </c>
      <c r="H69" s="57"/>
      <c r="I69" s="44" t="s">
        <v>204</v>
      </c>
      <c r="J69" s="44" t="s">
        <v>205</v>
      </c>
      <c r="K69" s="44" t="s">
        <v>206</v>
      </c>
    </row>
    <row r="70" spans="1:11" ht="13.5" customHeight="1" x14ac:dyDescent="0.25">
      <c r="A70" s="38"/>
      <c r="B70" s="98"/>
      <c r="C70" s="413"/>
      <c r="D70" s="413"/>
      <c r="E70" s="98" t="s">
        <v>7</v>
      </c>
      <c r="F70" s="21" t="s">
        <v>8</v>
      </c>
      <c r="G70" s="160">
        <v>230788.94</v>
      </c>
      <c r="H70" s="162" t="s">
        <v>276</v>
      </c>
      <c r="I70" s="22">
        <v>230788.94</v>
      </c>
      <c r="J70" s="23">
        <f t="shared" si="13"/>
        <v>1</v>
      </c>
      <c r="K70" s="22">
        <v>0</v>
      </c>
    </row>
    <row r="71" spans="1:11" ht="15" customHeight="1" x14ac:dyDescent="0.25">
      <c r="A71" s="38"/>
      <c r="B71" s="98"/>
      <c r="C71" s="413"/>
      <c r="D71" s="413"/>
      <c r="E71" s="98" t="s">
        <v>64</v>
      </c>
      <c r="F71" s="21" t="s">
        <v>65</v>
      </c>
      <c r="G71" s="160">
        <v>70000</v>
      </c>
      <c r="H71" s="162" t="s">
        <v>215</v>
      </c>
      <c r="I71" s="22">
        <v>23898</v>
      </c>
      <c r="J71" s="23">
        <f t="shared" si="13"/>
        <v>0.34139999999999998</v>
      </c>
      <c r="K71" s="22">
        <v>0</v>
      </c>
    </row>
    <row r="72" spans="1:11" ht="12.75" customHeight="1" x14ac:dyDescent="0.25">
      <c r="A72" s="38"/>
      <c r="B72" s="98"/>
      <c r="C72" s="413"/>
      <c r="D72" s="413"/>
      <c r="E72" s="98" t="s">
        <v>9</v>
      </c>
      <c r="F72" s="21" t="s">
        <v>10</v>
      </c>
      <c r="G72" s="160">
        <v>602155.86</v>
      </c>
      <c r="H72" s="162" t="s">
        <v>277</v>
      </c>
      <c r="I72" s="22">
        <v>313144.73</v>
      </c>
      <c r="J72" s="23">
        <f t="shared" si="13"/>
        <v>0.52003933001665048</v>
      </c>
      <c r="K72" s="22">
        <v>0</v>
      </c>
    </row>
    <row r="73" spans="1:11" ht="25.2" customHeight="1" x14ac:dyDescent="0.25">
      <c r="A73" s="38"/>
      <c r="B73" s="98"/>
      <c r="C73" s="413"/>
      <c r="D73" s="413"/>
      <c r="E73" s="98" t="s">
        <v>21</v>
      </c>
      <c r="F73" s="21" t="s">
        <v>371</v>
      </c>
      <c r="G73" s="160">
        <v>69711.570000000007</v>
      </c>
      <c r="H73" s="162" t="s">
        <v>278</v>
      </c>
      <c r="I73" s="22">
        <v>32526.16</v>
      </c>
      <c r="J73" s="23">
        <f t="shared" si="13"/>
        <v>0.4665819461532712</v>
      </c>
      <c r="K73" s="22">
        <v>0</v>
      </c>
    </row>
    <row r="74" spans="1:11" ht="24" customHeight="1" x14ac:dyDescent="0.25">
      <c r="A74" s="38"/>
      <c r="B74" s="98"/>
      <c r="C74" s="413"/>
      <c r="D74" s="413"/>
      <c r="E74" s="98" t="s">
        <v>66</v>
      </c>
      <c r="F74" s="21" t="s">
        <v>67</v>
      </c>
      <c r="G74" s="160">
        <v>130000</v>
      </c>
      <c r="H74" s="162" t="s">
        <v>249</v>
      </c>
      <c r="I74" s="22">
        <v>55541</v>
      </c>
      <c r="J74" s="23">
        <f t="shared" si="13"/>
        <v>0.42723846153846151</v>
      </c>
      <c r="K74" s="22">
        <v>0</v>
      </c>
    </row>
    <row r="75" spans="1:11" ht="12.75" customHeight="1" x14ac:dyDescent="0.25">
      <c r="A75" s="38"/>
      <c r="B75" s="98"/>
      <c r="C75" s="413"/>
      <c r="D75" s="413"/>
      <c r="E75" s="98" t="s">
        <v>22</v>
      </c>
      <c r="F75" s="21" t="s">
        <v>23</v>
      </c>
      <c r="G75" s="160">
        <v>68103.61</v>
      </c>
      <c r="H75" s="162" t="s">
        <v>279</v>
      </c>
      <c r="I75" s="22">
        <v>28065.84</v>
      </c>
      <c r="J75" s="23">
        <f t="shared" si="13"/>
        <v>0.41210502644426633</v>
      </c>
      <c r="K75" s="22">
        <v>0</v>
      </c>
    </row>
    <row r="76" spans="1:11" ht="12.75" customHeight="1" x14ac:dyDescent="0.25">
      <c r="A76" s="38"/>
      <c r="B76" s="98"/>
      <c r="C76" s="413"/>
      <c r="D76" s="413"/>
      <c r="E76" s="98" t="s">
        <v>24</v>
      </c>
      <c r="F76" s="21" t="s">
        <v>25</v>
      </c>
      <c r="G76" s="160">
        <v>170000</v>
      </c>
      <c r="H76" s="162" t="s">
        <v>280</v>
      </c>
      <c r="I76" s="22">
        <v>61304.66</v>
      </c>
      <c r="J76" s="23">
        <f t="shared" si="13"/>
        <v>0.36061564705882354</v>
      </c>
      <c r="K76" s="22">
        <v>10879.81</v>
      </c>
    </row>
    <row r="77" spans="1:11" s="341" customFormat="1" ht="12.75" customHeight="1" x14ac:dyDescent="0.25">
      <c r="A77" s="38"/>
      <c r="B77" s="335"/>
      <c r="C77" s="335"/>
      <c r="D77" s="335"/>
      <c r="E77" s="335" t="s">
        <v>394</v>
      </c>
      <c r="F77" s="21" t="s">
        <v>25</v>
      </c>
      <c r="G77" s="160">
        <v>192500</v>
      </c>
      <c r="H77" s="162"/>
      <c r="I77" s="245">
        <v>0</v>
      </c>
      <c r="J77" s="246">
        <f t="shared" si="13"/>
        <v>0</v>
      </c>
      <c r="K77" s="245">
        <v>0</v>
      </c>
    </row>
    <row r="78" spans="1:11" ht="12.75" customHeight="1" x14ac:dyDescent="0.25">
      <c r="A78" s="38"/>
      <c r="B78" s="129"/>
      <c r="C78" s="129"/>
      <c r="D78" s="129"/>
      <c r="E78" s="268" t="s">
        <v>68</v>
      </c>
      <c r="F78" s="21" t="s">
        <v>69</v>
      </c>
      <c r="G78" s="160">
        <v>60000</v>
      </c>
      <c r="H78" s="162"/>
      <c r="I78" s="22">
        <v>19983.89</v>
      </c>
      <c r="J78" s="23">
        <f>I78/G78</f>
        <v>0.33306483333333331</v>
      </c>
      <c r="K78" s="22">
        <v>231.79</v>
      </c>
    </row>
    <row r="79" spans="1:11" ht="15" customHeight="1" x14ac:dyDescent="0.25">
      <c r="A79" s="38"/>
      <c r="B79" s="98"/>
      <c r="C79" s="413"/>
      <c r="D79" s="413"/>
      <c r="E79" s="268" t="s">
        <v>70</v>
      </c>
      <c r="F79" s="21" t="s">
        <v>71</v>
      </c>
      <c r="G79" s="160">
        <v>17000</v>
      </c>
      <c r="H79" s="162" t="s">
        <v>251</v>
      </c>
      <c r="I79" s="22">
        <v>120</v>
      </c>
      <c r="J79" s="23">
        <f t="shared" si="13"/>
        <v>7.058823529411765E-3</v>
      </c>
      <c r="K79" s="22">
        <v>0</v>
      </c>
    </row>
    <row r="80" spans="1:11" ht="12.75" customHeight="1" x14ac:dyDescent="0.25">
      <c r="A80" s="38"/>
      <c r="B80" s="98"/>
      <c r="C80" s="413"/>
      <c r="D80" s="413"/>
      <c r="E80" s="268" t="s">
        <v>26</v>
      </c>
      <c r="F80" s="21" t="s">
        <v>27</v>
      </c>
      <c r="G80" s="160">
        <v>495000</v>
      </c>
      <c r="H80" s="162" t="s">
        <v>281</v>
      </c>
      <c r="I80" s="22">
        <v>226656.74</v>
      </c>
      <c r="J80" s="23">
        <f t="shared" si="13"/>
        <v>0.45789240404040404</v>
      </c>
      <c r="K80" s="22">
        <v>1042.2</v>
      </c>
    </row>
    <row r="81" spans="1:22" s="341" customFormat="1" ht="12.75" customHeight="1" x14ac:dyDescent="0.25">
      <c r="A81" s="38"/>
      <c r="B81" s="335"/>
      <c r="C81" s="335"/>
      <c r="D81" s="335"/>
      <c r="E81" s="335" t="s">
        <v>395</v>
      </c>
      <c r="F81" s="21" t="s">
        <v>27</v>
      </c>
      <c r="G81" s="160">
        <v>30112.5</v>
      </c>
      <c r="H81" s="163"/>
      <c r="I81" s="245">
        <v>0</v>
      </c>
      <c r="J81" s="246">
        <f t="shared" si="13"/>
        <v>0</v>
      </c>
      <c r="K81" s="245">
        <v>0</v>
      </c>
    </row>
    <row r="82" spans="1:22" ht="21" customHeight="1" x14ac:dyDescent="0.25">
      <c r="A82" s="38"/>
      <c r="B82" s="268"/>
      <c r="C82" s="413"/>
      <c r="D82" s="413"/>
      <c r="E82" s="268" t="s">
        <v>72</v>
      </c>
      <c r="F82" s="9" t="s">
        <v>214</v>
      </c>
      <c r="G82" s="160">
        <v>29206.86</v>
      </c>
      <c r="H82" s="163" t="s">
        <v>282</v>
      </c>
      <c r="I82" s="245">
        <v>14543.69</v>
      </c>
      <c r="J82" s="246">
        <f t="shared" ref="J82" si="14">I82/G82</f>
        <v>0.49795459012026627</v>
      </c>
      <c r="K82" s="245">
        <v>0</v>
      </c>
    </row>
    <row r="83" spans="1:22" ht="15.6" customHeight="1" x14ac:dyDescent="0.25">
      <c r="A83" s="38"/>
      <c r="B83" s="66"/>
      <c r="C83" s="65"/>
      <c r="D83" s="42"/>
      <c r="E83" s="98" t="s">
        <v>52</v>
      </c>
      <c r="F83" s="21" t="s">
        <v>53</v>
      </c>
      <c r="G83" s="160">
        <v>22591.279999999999</v>
      </c>
      <c r="H83" s="162" t="s">
        <v>184</v>
      </c>
      <c r="I83" s="22">
        <v>11646.42</v>
      </c>
      <c r="J83" s="23">
        <f t="shared" si="13"/>
        <v>0.51552722997545963</v>
      </c>
      <c r="K83" s="22">
        <v>0</v>
      </c>
    </row>
    <row r="84" spans="1:22" s="341" customFormat="1" ht="15.6" customHeight="1" x14ac:dyDescent="0.25">
      <c r="A84" s="38"/>
      <c r="B84" s="65"/>
      <c r="C84" s="65"/>
      <c r="D84" s="42"/>
      <c r="E84" s="335" t="s">
        <v>396</v>
      </c>
      <c r="F84" s="21" t="s">
        <v>397</v>
      </c>
      <c r="G84" s="160">
        <v>408.72</v>
      </c>
      <c r="H84" s="162"/>
      <c r="I84" s="245">
        <v>408.72</v>
      </c>
      <c r="J84" s="246">
        <f t="shared" si="13"/>
        <v>1</v>
      </c>
      <c r="K84" s="245">
        <v>0</v>
      </c>
    </row>
    <row r="85" spans="1:22" ht="13.5" customHeight="1" x14ac:dyDescent="0.25">
      <c r="A85" s="38"/>
      <c r="B85" s="98"/>
      <c r="C85" s="413"/>
      <c r="D85" s="413"/>
      <c r="E85" s="98" t="s">
        <v>28</v>
      </c>
      <c r="F85" s="21" t="s">
        <v>29</v>
      </c>
      <c r="G85" s="160">
        <v>50000</v>
      </c>
      <c r="H85" s="162" t="s">
        <v>249</v>
      </c>
      <c r="I85" s="22">
        <v>29681.55</v>
      </c>
      <c r="J85" s="23">
        <f t="shared" ref="J85:J98" si="15">I85/G85</f>
        <v>0.59363100000000002</v>
      </c>
      <c r="K85" s="22">
        <v>0</v>
      </c>
    </row>
    <row r="86" spans="1:22" ht="23.25" customHeight="1" x14ac:dyDescent="0.25">
      <c r="A86" s="38"/>
      <c r="B86" s="98"/>
      <c r="C86" s="413"/>
      <c r="D86" s="413"/>
      <c r="E86" s="98" t="s">
        <v>11</v>
      </c>
      <c r="F86" s="21" t="s">
        <v>12</v>
      </c>
      <c r="G86" s="160">
        <v>98669.51</v>
      </c>
      <c r="H86" s="162" t="s">
        <v>283</v>
      </c>
      <c r="I86" s="22">
        <v>74002.13</v>
      </c>
      <c r="J86" s="23">
        <f t="shared" si="15"/>
        <v>0.74999997466289237</v>
      </c>
      <c r="K86" s="22">
        <v>0</v>
      </c>
    </row>
    <row r="87" spans="1:22" ht="13.95" customHeight="1" x14ac:dyDescent="0.25">
      <c r="A87" s="38"/>
      <c r="B87" s="98"/>
      <c r="C87" s="98"/>
      <c r="D87" s="98"/>
      <c r="E87" s="83" t="s">
        <v>273</v>
      </c>
      <c r="F87" s="84" t="s">
        <v>274</v>
      </c>
      <c r="G87" s="160">
        <v>500</v>
      </c>
      <c r="H87" s="162" t="s">
        <v>189</v>
      </c>
      <c r="I87" s="22">
        <v>0</v>
      </c>
      <c r="J87" s="23">
        <f t="shared" si="15"/>
        <v>0</v>
      </c>
      <c r="K87" s="22">
        <v>0</v>
      </c>
    </row>
    <row r="88" spans="1:22" ht="23.25" customHeight="1" x14ac:dyDescent="0.25">
      <c r="A88" s="38"/>
      <c r="B88" s="98"/>
      <c r="C88" s="413"/>
      <c r="D88" s="413"/>
      <c r="E88" s="98" t="s">
        <v>54</v>
      </c>
      <c r="F88" s="21" t="s">
        <v>55</v>
      </c>
      <c r="G88" s="160">
        <v>10000</v>
      </c>
      <c r="H88" s="163" t="s">
        <v>157</v>
      </c>
      <c r="I88" s="22">
        <v>3234.45</v>
      </c>
      <c r="J88" s="23">
        <f t="shared" si="15"/>
        <v>0.32344499999999998</v>
      </c>
      <c r="K88" s="22">
        <v>0</v>
      </c>
    </row>
    <row r="89" spans="1:22" s="341" customFormat="1" ht="23.25" customHeight="1" x14ac:dyDescent="0.25">
      <c r="A89" s="38"/>
      <c r="B89" s="335"/>
      <c r="C89" s="335"/>
      <c r="D89" s="335"/>
      <c r="E89" s="335" t="s">
        <v>398</v>
      </c>
      <c r="F89" s="21" t="s">
        <v>55</v>
      </c>
      <c r="G89" s="160">
        <v>6000</v>
      </c>
      <c r="H89" s="251"/>
      <c r="I89" s="245">
        <v>0</v>
      </c>
      <c r="J89" s="246">
        <f t="shared" si="15"/>
        <v>0</v>
      </c>
      <c r="K89" s="245">
        <v>0</v>
      </c>
    </row>
    <row r="90" spans="1:22" s="278" customFormat="1" ht="23.25" customHeight="1" x14ac:dyDescent="0.25">
      <c r="A90" s="38"/>
      <c r="B90" s="268"/>
      <c r="C90" s="268"/>
      <c r="D90" s="268"/>
      <c r="E90" s="268" t="s">
        <v>373</v>
      </c>
      <c r="F90" s="21" t="s">
        <v>372</v>
      </c>
      <c r="G90" s="160">
        <v>5904.08</v>
      </c>
      <c r="H90" s="251"/>
      <c r="I90" s="245">
        <v>2710.47</v>
      </c>
      <c r="J90" s="246">
        <f t="shared" si="15"/>
        <v>0.4590842265009959</v>
      </c>
      <c r="K90" s="245">
        <v>0</v>
      </c>
    </row>
    <row r="91" spans="1:22" s="341" customFormat="1" ht="23.25" customHeight="1" x14ac:dyDescent="0.25">
      <c r="A91" s="38"/>
      <c r="B91" s="335"/>
      <c r="C91" s="335"/>
      <c r="D91" s="335"/>
      <c r="E91" s="335" t="s">
        <v>399</v>
      </c>
      <c r="F91" s="21" t="s">
        <v>400</v>
      </c>
      <c r="G91" s="160">
        <v>73637.5</v>
      </c>
      <c r="H91" s="251"/>
      <c r="I91" s="245">
        <v>0</v>
      </c>
      <c r="J91" s="246">
        <f t="shared" si="15"/>
        <v>0</v>
      </c>
      <c r="K91" s="245">
        <v>0</v>
      </c>
    </row>
    <row r="92" spans="1:22" ht="22.8" customHeight="1" x14ac:dyDescent="0.25">
      <c r="A92" s="38"/>
      <c r="B92" s="20"/>
      <c r="C92" s="416" t="s">
        <v>74</v>
      </c>
      <c r="D92" s="416"/>
      <c r="E92" s="27"/>
      <c r="F92" s="28" t="s">
        <v>75</v>
      </c>
      <c r="G92" s="417">
        <f>SUM(G93+G94)</f>
        <v>60000</v>
      </c>
      <c r="H92" s="418"/>
      <c r="I92" s="33">
        <f>SUM(I93:I94)</f>
        <v>13196.31</v>
      </c>
      <c r="J92" s="29">
        <f t="shared" si="15"/>
        <v>0.21993849999999998</v>
      </c>
      <c r="K92" s="33">
        <f>SUM(K93:K94)</f>
        <v>490.16</v>
      </c>
    </row>
    <row r="93" spans="1:22" ht="15" customHeight="1" x14ac:dyDescent="0.25">
      <c r="A93" s="38"/>
      <c r="B93" s="98"/>
      <c r="C93" s="413"/>
      <c r="D93" s="413"/>
      <c r="E93" s="34" t="s">
        <v>24</v>
      </c>
      <c r="F93" s="35" t="s">
        <v>25</v>
      </c>
      <c r="G93" s="420">
        <v>20000</v>
      </c>
      <c r="H93" s="421"/>
      <c r="I93" s="36">
        <v>963.81</v>
      </c>
      <c r="J93" s="37">
        <f t="shared" si="15"/>
        <v>4.8190499999999997E-2</v>
      </c>
      <c r="K93" s="22">
        <v>490.16</v>
      </c>
      <c r="V93" s="278"/>
    </row>
    <row r="94" spans="1:22" ht="13.95" customHeight="1" x14ac:dyDescent="0.25">
      <c r="A94" s="38"/>
      <c r="B94" s="98"/>
      <c r="C94" s="413"/>
      <c r="D94" s="413"/>
      <c r="E94" s="268" t="s">
        <v>26</v>
      </c>
      <c r="F94" s="21" t="s">
        <v>27</v>
      </c>
      <c r="G94" s="414">
        <v>40000</v>
      </c>
      <c r="H94" s="415"/>
      <c r="I94" s="245">
        <v>12232.5</v>
      </c>
      <c r="J94" s="246">
        <f t="shared" si="15"/>
        <v>0.30581249999999999</v>
      </c>
      <c r="K94" s="245">
        <v>0</v>
      </c>
    </row>
    <row r="95" spans="1:22" ht="21" customHeight="1" x14ac:dyDescent="0.25">
      <c r="A95" s="38"/>
      <c r="B95" s="130"/>
      <c r="C95" s="136" t="s">
        <v>347</v>
      </c>
      <c r="D95" s="108"/>
      <c r="E95" s="276"/>
      <c r="F95" s="73" t="s">
        <v>348</v>
      </c>
      <c r="G95" s="277">
        <f>SUM(G97+G98+G99+G100+G101+G102+G103+G104+G105+G106+G107+G108+G109+G111+G96+G112)</f>
        <v>481000.70000000007</v>
      </c>
      <c r="H95" s="277">
        <f t="shared" ref="H95:I95" si="16">SUM(H97+H98+H99+H100+H101+H102+H103+H104+H105+H106+H107+H108+H109+H111+H96+H112)</f>
        <v>0</v>
      </c>
      <c r="I95" s="277">
        <f t="shared" si="16"/>
        <v>255018.28000000003</v>
      </c>
      <c r="J95" s="29">
        <f t="shared" si="15"/>
        <v>0.53018276272778808</v>
      </c>
      <c r="K95" s="305">
        <f>SUM(K97:K111)</f>
        <v>0</v>
      </c>
    </row>
    <row r="96" spans="1:22" s="278" customFormat="1" ht="21" customHeight="1" x14ac:dyDescent="0.25">
      <c r="A96" s="38"/>
      <c r="B96" s="274"/>
      <c r="C96" s="296"/>
      <c r="D96" s="108"/>
      <c r="E96" s="297" t="s">
        <v>62</v>
      </c>
      <c r="F96" s="244" t="s">
        <v>63</v>
      </c>
      <c r="G96" s="298">
        <v>300</v>
      </c>
      <c r="H96" s="171"/>
      <c r="I96" s="36">
        <v>0</v>
      </c>
      <c r="J96" s="37">
        <f t="shared" si="15"/>
        <v>0</v>
      </c>
      <c r="K96" s="306">
        <v>0</v>
      </c>
    </row>
    <row r="97" spans="1:19" ht="13.95" customHeight="1" x14ac:dyDescent="0.25">
      <c r="A97" s="38"/>
      <c r="B97" s="129"/>
      <c r="C97" s="129"/>
      <c r="D97" s="132"/>
      <c r="E97" s="247" t="s">
        <v>5</v>
      </c>
      <c r="F97" s="45" t="s">
        <v>6</v>
      </c>
      <c r="G97" s="245">
        <v>317555.82</v>
      </c>
      <c r="H97" s="63"/>
      <c r="I97" s="245">
        <v>159132.13</v>
      </c>
      <c r="J97" s="246">
        <f t="shared" si="15"/>
        <v>0.50111545743359387</v>
      </c>
      <c r="K97" s="307">
        <v>0</v>
      </c>
      <c r="R97" s="278"/>
    </row>
    <row r="98" spans="1:19" ht="13.95" customHeight="1" x14ac:dyDescent="0.25">
      <c r="A98" s="38"/>
      <c r="B98" s="229"/>
      <c r="C98" s="229"/>
      <c r="D98" s="236"/>
      <c r="E98" s="66" t="s">
        <v>7</v>
      </c>
      <c r="F98" s="45" t="s">
        <v>8</v>
      </c>
      <c r="G98" s="22">
        <v>25437.37</v>
      </c>
      <c r="H98" s="63"/>
      <c r="I98" s="22">
        <v>25437.37</v>
      </c>
      <c r="J98" s="23">
        <f t="shared" si="15"/>
        <v>1</v>
      </c>
      <c r="K98" s="307">
        <v>0</v>
      </c>
    </row>
    <row r="99" spans="1:19" ht="13.95" customHeight="1" x14ac:dyDescent="0.25">
      <c r="A99" s="38"/>
      <c r="B99" s="129"/>
      <c r="C99" s="129"/>
      <c r="D99" s="132"/>
      <c r="E99" s="66" t="s">
        <v>9</v>
      </c>
      <c r="F99" s="45" t="s">
        <v>10</v>
      </c>
      <c r="G99" s="22">
        <v>61496.37</v>
      </c>
      <c r="H99" s="63"/>
      <c r="I99" s="22">
        <v>33023.449999999997</v>
      </c>
      <c r="J99" s="23">
        <f t="shared" ref="J99:J112" si="17">I99/G99</f>
        <v>0.53699836266758505</v>
      </c>
      <c r="K99" s="307">
        <v>0</v>
      </c>
    </row>
    <row r="100" spans="1:19" ht="27" customHeight="1" x14ac:dyDescent="0.25">
      <c r="A100" s="38"/>
      <c r="B100" s="129"/>
      <c r="C100" s="129"/>
      <c r="D100" s="132"/>
      <c r="E100" s="66" t="s">
        <v>21</v>
      </c>
      <c r="F100" s="45" t="s">
        <v>371</v>
      </c>
      <c r="G100" s="22">
        <v>8403.0300000000007</v>
      </c>
      <c r="H100" s="63"/>
      <c r="I100" s="22">
        <v>3262.7</v>
      </c>
      <c r="J100" s="23">
        <f t="shared" si="17"/>
        <v>0.38827660974672223</v>
      </c>
      <c r="K100" s="307">
        <v>0</v>
      </c>
    </row>
    <row r="101" spans="1:19" ht="13.95" customHeight="1" x14ac:dyDescent="0.25">
      <c r="A101" s="38"/>
      <c r="B101" s="129"/>
      <c r="C101" s="129"/>
      <c r="D101" s="132"/>
      <c r="E101" s="66" t="s">
        <v>22</v>
      </c>
      <c r="F101" s="45" t="s">
        <v>23</v>
      </c>
      <c r="G101" s="22">
        <v>5000</v>
      </c>
      <c r="H101" s="63"/>
      <c r="I101" s="22">
        <v>400</v>
      </c>
      <c r="J101" s="23">
        <f t="shared" si="17"/>
        <v>0.08</v>
      </c>
      <c r="K101" s="307">
        <v>0</v>
      </c>
    </row>
    <row r="102" spans="1:19" ht="13.95" customHeight="1" x14ac:dyDescent="0.25">
      <c r="A102" s="38"/>
      <c r="B102" s="129"/>
      <c r="C102" s="129"/>
      <c r="D102" s="132"/>
      <c r="E102" s="66" t="s">
        <v>24</v>
      </c>
      <c r="F102" s="45" t="s">
        <v>25</v>
      </c>
      <c r="G102" s="22">
        <v>17000</v>
      </c>
      <c r="H102" s="63"/>
      <c r="I102" s="22">
        <v>12757.31</v>
      </c>
      <c r="J102" s="23">
        <f t="shared" si="17"/>
        <v>0.75042999999999993</v>
      </c>
      <c r="K102" s="22">
        <v>0</v>
      </c>
    </row>
    <row r="103" spans="1:19" ht="13.95" customHeight="1" x14ac:dyDescent="0.25">
      <c r="A103" s="38"/>
      <c r="B103" s="129"/>
      <c r="C103" s="129"/>
      <c r="D103" s="132"/>
      <c r="E103" s="66" t="s">
        <v>68</v>
      </c>
      <c r="F103" s="45" t="s">
        <v>69</v>
      </c>
      <c r="G103" s="22">
        <v>5000</v>
      </c>
      <c r="H103" s="63"/>
      <c r="I103" s="22">
        <v>2696.77</v>
      </c>
      <c r="J103" s="23">
        <f t="shared" si="17"/>
        <v>0.539354</v>
      </c>
      <c r="K103" s="22">
        <v>0</v>
      </c>
    </row>
    <row r="104" spans="1:19" ht="13.95" customHeight="1" x14ac:dyDescent="0.25">
      <c r="A104" s="38"/>
      <c r="B104" s="129"/>
      <c r="C104" s="129"/>
      <c r="D104" s="132"/>
      <c r="E104" s="66" t="s">
        <v>70</v>
      </c>
      <c r="F104" s="45" t="s">
        <v>71</v>
      </c>
      <c r="G104" s="22">
        <v>200</v>
      </c>
      <c r="H104" s="63"/>
      <c r="I104" s="22">
        <v>100</v>
      </c>
      <c r="J104" s="23">
        <f t="shared" si="17"/>
        <v>0.5</v>
      </c>
      <c r="K104" s="22">
        <v>0</v>
      </c>
    </row>
    <row r="105" spans="1:19" ht="13.95" customHeight="1" x14ac:dyDescent="0.25">
      <c r="A105" s="38"/>
      <c r="B105" s="129"/>
      <c r="C105" s="129"/>
      <c r="D105" s="132"/>
      <c r="E105" s="66" t="s">
        <v>26</v>
      </c>
      <c r="F105" s="45" t="s">
        <v>27</v>
      </c>
      <c r="G105" s="22">
        <v>25801</v>
      </c>
      <c r="H105" s="63"/>
      <c r="I105" s="22">
        <v>9233.17</v>
      </c>
      <c r="J105" s="23">
        <f t="shared" si="17"/>
        <v>0.35786093562265031</v>
      </c>
      <c r="K105" s="22">
        <v>0</v>
      </c>
    </row>
    <row r="106" spans="1:19" ht="23.4" customHeight="1" x14ac:dyDescent="0.25">
      <c r="A106" s="38"/>
      <c r="B106" s="129"/>
      <c r="C106" s="129"/>
      <c r="D106" s="132"/>
      <c r="E106" s="66" t="s">
        <v>72</v>
      </c>
      <c r="F106" s="45" t="s">
        <v>214</v>
      </c>
      <c r="G106" s="22">
        <v>1800</v>
      </c>
      <c r="H106" s="63"/>
      <c r="I106" s="22">
        <v>892.92</v>
      </c>
      <c r="J106" s="23">
        <f t="shared" si="17"/>
        <v>0.49606666666666666</v>
      </c>
      <c r="K106" s="22">
        <v>0</v>
      </c>
    </row>
    <row r="107" spans="1:19" ht="13.95" customHeight="1" x14ac:dyDescent="0.25">
      <c r="A107" s="38"/>
      <c r="B107" s="129"/>
      <c r="C107" s="129"/>
      <c r="D107" s="132"/>
      <c r="E107" s="66" t="s">
        <v>52</v>
      </c>
      <c r="F107" s="45" t="s">
        <v>53</v>
      </c>
      <c r="G107" s="22">
        <v>500</v>
      </c>
      <c r="H107" s="63"/>
      <c r="I107" s="22">
        <v>135</v>
      </c>
      <c r="J107" s="23">
        <f t="shared" si="17"/>
        <v>0.27</v>
      </c>
      <c r="K107" s="22">
        <v>0</v>
      </c>
    </row>
    <row r="108" spans="1:19" ht="13.95" customHeight="1" x14ac:dyDescent="0.25">
      <c r="A108" s="38"/>
      <c r="B108" s="229"/>
      <c r="C108" s="229"/>
      <c r="D108" s="236"/>
      <c r="E108" s="66" t="s">
        <v>28</v>
      </c>
      <c r="F108" s="45" t="s">
        <v>29</v>
      </c>
      <c r="G108" s="22">
        <v>650</v>
      </c>
      <c r="H108" s="63"/>
      <c r="I108" s="22">
        <v>619</v>
      </c>
      <c r="J108" s="23">
        <f t="shared" si="17"/>
        <v>0.9523076923076923</v>
      </c>
      <c r="K108" s="22">
        <v>0</v>
      </c>
    </row>
    <row r="109" spans="1:19" ht="21" customHeight="1" x14ac:dyDescent="0.25">
      <c r="A109" s="38"/>
      <c r="B109" s="129"/>
      <c r="C109" s="129"/>
      <c r="D109" s="132"/>
      <c r="E109" s="66" t="s">
        <v>11</v>
      </c>
      <c r="F109" s="45" t="s">
        <v>12</v>
      </c>
      <c r="G109" s="22">
        <v>9562.08</v>
      </c>
      <c r="H109" s="63"/>
      <c r="I109" s="22">
        <v>7171.56</v>
      </c>
      <c r="J109" s="23">
        <f t="shared" si="17"/>
        <v>0.75</v>
      </c>
      <c r="K109" s="22">
        <v>0</v>
      </c>
    </row>
    <row r="110" spans="1:19" s="341" customFormat="1" ht="13.8" customHeight="1" x14ac:dyDescent="0.25">
      <c r="A110" s="38"/>
      <c r="B110" s="43" t="s">
        <v>199</v>
      </c>
      <c r="C110" s="43" t="s">
        <v>200</v>
      </c>
      <c r="D110" s="43"/>
      <c r="E110" s="43" t="s">
        <v>201</v>
      </c>
      <c r="F110" s="43" t="s">
        <v>202</v>
      </c>
      <c r="G110" s="57" t="s">
        <v>203</v>
      </c>
      <c r="H110" s="57"/>
      <c r="I110" s="44" t="s">
        <v>204</v>
      </c>
      <c r="J110" s="44" t="s">
        <v>205</v>
      </c>
      <c r="K110" s="44" t="s">
        <v>206</v>
      </c>
    </row>
    <row r="111" spans="1:19" ht="23.4" customHeight="1" x14ac:dyDescent="0.25">
      <c r="A111" s="38"/>
      <c r="B111" s="129"/>
      <c r="C111" s="129"/>
      <c r="D111" s="132"/>
      <c r="E111" s="247" t="s">
        <v>54</v>
      </c>
      <c r="F111" s="45" t="s">
        <v>349</v>
      </c>
      <c r="G111" s="245">
        <v>2000</v>
      </c>
      <c r="H111" s="63"/>
      <c r="I111" s="245">
        <v>0</v>
      </c>
      <c r="J111" s="246">
        <f t="shared" si="17"/>
        <v>0</v>
      </c>
      <c r="K111" s="245">
        <v>0</v>
      </c>
      <c r="S111" s="278"/>
    </row>
    <row r="112" spans="1:19" s="278" customFormat="1" ht="23.4" customHeight="1" x14ac:dyDescent="0.25">
      <c r="A112" s="38"/>
      <c r="B112" s="268"/>
      <c r="C112" s="268"/>
      <c r="D112" s="274"/>
      <c r="E112" s="122" t="s">
        <v>373</v>
      </c>
      <c r="F112" s="222" t="s">
        <v>372</v>
      </c>
      <c r="G112" s="172">
        <v>295.02999999999997</v>
      </c>
      <c r="H112" s="63"/>
      <c r="I112" s="13">
        <v>156.9</v>
      </c>
      <c r="J112" s="26">
        <f t="shared" si="17"/>
        <v>0.53181032437379261</v>
      </c>
      <c r="K112" s="13">
        <v>0</v>
      </c>
    </row>
    <row r="113" spans="1:11" ht="15.6" customHeight="1" x14ac:dyDescent="0.25">
      <c r="A113" s="38"/>
      <c r="B113" s="20"/>
      <c r="C113" s="416" t="s">
        <v>76</v>
      </c>
      <c r="D113" s="416"/>
      <c r="E113" s="39"/>
      <c r="F113" s="40" t="s">
        <v>20</v>
      </c>
      <c r="G113" s="424">
        <f>SUM(G114:H119)</f>
        <v>109117.29000000001</v>
      </c>
      <c r="H113" s="425"/>
      <c r="I113" s="14">
        <f>SUM(I114+I115+I116+I117+I119+I118)</f>
        <v>39626.949999999997</v>
      </c>
      <c r="J113" s="41">
        <f>I113/G113</f>
        <v>0.36315922068812373</v>
      </c>
      <c r="K113" s="14">
        <f>SUM(K114:K119)</f>
        <v>885.31999999999994</v>
      </c>
    </row>
    <row r="114" spans="1:11" ht="14.4" customHeight="1" x14ac:dyDescent="0.25">
      <c r="A114" s="38"/>
      <c r="B114" s="98"/>
      <c r="C114" s="413"/>
      <c r="D114" s="413"/>
      <c r="E114" s="34" t="s">
        <v>58</v>
      </c>
      <c r="F114" s="35" t="s">
        <v>59</v>
      </c>
      <c r="G114" s="420">
        <v>50400</v>
      </c>
      <c r="H114" s="421"/>
      <c r="I114" s="36">
        <v>24900</v>
      </c>
      <c r="J114" s="37">
        <f>I114/G114</f>
        <v>0.49404761904761907</v>
      </c>
      <c r="K114" s="22">
        <v>0</v>
      </c>
    </row>
    <row r="115" spans="1:11" ht="17.100000000000001" customHeight="1" x14ac:dyDescent="0.25">
      <c r="A115" s="38"/>
      <c r="B115" s="98"/>
      <c r="C115" s="413"/>
      <c r="D115" s="413"/>
      <c r="E115" s="98" t="s">
        <v>77</v>
      </c>
      <c r="F115" s="21" t="s">
        <v>78</v>
      </c>
      <c r="G115" s="414">
        <v>15000</v>
      </c>
      <c r="H115" s="415"/>
      <c r="I115" s="22">
        <v>0</v>
      </c>
      <c r="J115" s="23">
        <f>I115/G115</f>
        <v>0</v>
      </c>
      <c r="K115" s="22">
        <v>0</v>
      </c>
    </row>
    <row r="116" spans="1:11" ht="17.100000000000001" customHeight="1" x14ac:dyDescent="0.25">
      <c r="A116" s="38"/>
      <c r="B116" s="129"/>
      <c r="C116" s="129"/>
      <c r="D116" s="129"/>
      <c r="E116" s="129" t="s">
        <v>350</v>
      </c>
      <c r="F116" s="21" t="s">
        <v>351</v>
      </c>
      <c r="G116" s="169">
        <v>5000</v>
      </c>
      <c r="H116" s="170"/>
      <c r="I116" s="22">
        <v>1886.91</v>
      </c>
      <c r="J116" s="23">
        <f>I116/G116</f>
        <v>0.377382</v>
      </c>
      <c r="K116" s="22">
        <v>0</v>
      </c>
    </row>
    <row r="117" spans="1:11" ht="17.100000000000001" customHeight="1" x14ac:dyDescent="0.25">
      <c r="A117" s="38"/>
      <c r="B117" s="98"/>
      <c r="C117" s="413"/>
      <c r="D117" s="413"/>
      <c r="E117" s="98" t="s">
        <v>24</v>
      </c>
      <c r="F117" s="21" t="s">
        <v>25</v>
      </c>
      <c r="G117" s="414">
        <v>11000</v>
      </c>
      <c r="H117" s="415"/>
      <c r="I117" s="22">
        <v>5313.33</v>
      </c>
      <c r="J117" s="23">
        <f t="shared" ref="J117:J124" si="18">I117/G117</f>
        <v>0.48303000000000001</v>
      </c>
      <c r="K117" s="22">
        <v>437.43</v>
      </c>
    </row>
    <row r="118" spans="1:11" s="278" customFormat="1" ht="17.100000000000001" customHeight="1" x14ac:dyDescent="0.25">
      <c r="A118" s="38"/>
      <c r="B118" s="268"/>
      <c r="C118" s="268"/>
      <c r="D118" s="268"/>
      <c r="E118" s="268" t="s">
        <v>110</v>
      </c>
      <c r="F118" s="21" t="s">
        <v>111</v>
      </c>
      <c r="G118" s="269">
        <v>11217.29</v>
      </c>
      <c r="H118" s="270"/>
      <c r="I118" s="245">
        <v>5954.2</v>
      </c>
      <c r="J118" s="246">
        <f t="shared" si="18"/>
        <v>0.5308055689030059</v>
      </c>
      <c r="K118" s="245">
        <v>447.89</v>
      </c>
    </row>
    <row r="119" spans="1:11" ht="17.100000000000001" customHeight="1" x14ac:dyDescent="0.25">
      <c r="A119" s="38"/>
      <c r="B119" s="98"/>
      <c r="C119" s="98"/>
      <c r="D119" s="98"/>
      <c r="E119" s="98" t="s">
        <v>26</v>
      </c>
      <c r="F119" s="21" t="s">
        <v>27</v>
      </c>
      <c r="G119" s="414">
        <v>16500</v>
      </c>
      <c r="H119" s="415"/>
      <c r="I119" s="22">
        <v>1572.51</v>
      </c>
      <c r="J119" s="23">
        <f>I119/G119</f>
        <v>9.5303636363636368E-2</v>
      </c>
      <c r="K119" s="13">
        <v>0</v>
      </c>
    </row>
    <row r="120" spans="1:11" ht="37.200000000000003" customHeight="1" thickBot="1" x14ac:dyDescent="0.3">
      <c r="A120" s="38"/>
      <c r="B120" s="99" t="s">
        <v>79</v>
      </c>
      <c r="C120" s="431"/>
      <c r="D120" s="431"/>
      <c r="E120" s="99"/>
      <c r="F120" s="18" t="s">
        <v>80</v>
      </c>
      <c r="G120" s="436">
        <f>SUM(G121)</f>
        <v>2049</v>
      </c>
      <c r="H120" s="437"/>
      <c r="I120" s="16">
        <f>SUM(I121)</f>
        <v>1026</v>
      </c>
      <c r="J120" s="19">
        <f t="shared" si="18"/>
        <v>0.50073206442166907</v>
      </c>
      <c r="K120" s="10">
        <f>SUM(K121)</f>
        <v>0</v>
      </c>
    </row>
    <row r="121" spans="1:11" ht="26.25" customHeight="1" thickTop="1" x14ac:dyDescent="0.25">
      <c r="A121" s="38"/>
      <c r="B121" s="20"/>
      <c r="C121" s="419" t="s">
        <v>81</v>
      </c>
      <c r="D121" s="419"/>
      <c r="E121" s="39"/>
      <c r="F121" s="40" t="s">
        <v>82</v>
      </c>
      <c r="G121" s="424">
        <f>SUM(G122:H124)</f>
        <v>2049</v>
      </c>
      <c r="H121" s="425"/>
      <c r="I121" s="14">
        <f>SUM(I122:I124)</f>
        <v>1026</v>
      </c>
      <c r="J121" s="41">
        <f t="shared" si="18"/>
        <v>0.50073206442166907</v>
      </c>
      <c r="K121" s="53">
        <v>0</v>
      </c>
    </row>
    <row r="122" spans="1:11" ht="13.95" customHeight="1" x14ac:dyDescent="0.25">
      <c r="A122" s="38"/>
      <c r="B122" s="98"/>
      <c r="C122" s="413"/>
      <c r="D122" s="413"/>
      <c r="E122" s="34" t="s">
        <v>9</v>
      </c>
      <c r="F122" s="35" t="s">
        <v>10</v>
      </c>
      <c r="G122" s="420">
        <v>293.04000000000002</v>
      </c>
      <c r="H122" s="421"/>
      <c r="I122" s="36">
        <v>146.76</v>
      </c>
      <c r="J122" s="37">
        <f t="shared" si="18"/>
        <v>0.50081900081900077</v>
      </c>
      <c r="K122" s="22">
        <v>0</v>
      </c>
    </row>
    <row r="123" spans="1:11" ht="25.8" customHeight="1" x14ac:dyDescent="0.25">
      <c r="A123" s="38"/>
      <c r="B123" s="98"/>
      <c r="C123" s="98"/>
      <c r="D123" s="98"/>
      <c r="E123" s="98" t="s">
        <v>21</v>
      </c>
      <c r="F123" s="168" t="s">
        <v>371</v>
      </c>
      <c r="G123" s="169">
        <v>42</v>
      </c>
      <c r="H123" s="170"/>
      <c r="I123" s="22">
        <v>21</v>
      </c>
      <c r="J123" s="23">
        <f t="shared" si="18"/>
        <v>0.5</v>
      </c>
      <c r="K123" s="245">
        <v>0</v>
      </c>
    </row>
    <row r="124" spans="1:11" ht="13.2" customHeight="1" x14ac:dyDescent="0.25">
      <c r="A124" s="38"/>
      <c r="B124" s="221"/>
      <c r="C124" s="453"/>
      <c r="D124" s="453"/>
      <c r="E124" s="221" t="s">
        <v>22</v>
      </c>
      <c r="F124" s="222" t="s">
        <v>23</v>
      </c>
      <c r="G124" s="482">
        <v>1713.96</v>
      </c>
      <c r="H124" s="483"/>
      <c r="I124" s="13">
        <v>858.24</v>
      </c>
      <c r="J124" s="26">
        <f t="shared" si="18"/>
        <v>0.50073513967653849</v>
      </c>
      <c r="K124" s="13">
        <v>0</v>
      </c>
    </row>
    <row r="125" spans="1:11" ht="26.25" customHeight="1" thickBot="1" x14ac:dyDescent="0.3">
      <c r="A125" s="38"/>
      <c r="B125" s="99" t="s">
        <v>83</v>
      </c>
      <c r="C125" s="431"/>
      <c r="D125" s="431"/>
      <c r="E125" s="99"/>
      <c r="F125" s="18" t="s">
        <v>84</v>
      </c>
      <c r="G125" s="436">
        <f>SUM(G126+G136+G140+G141)</f>
        <v>538501.41</v>
      </c>
      <c r="H125" s="437"/>
      <c r="I125" s="16">
        <f>SUM(I126+I136+I139+I141)</f>
        <v>207199.20999999996</v>
      </c>
      <c r="J125" s="19">
        <f t="shared" ref="J125:J163" si="19">I125/G125</f>
        <v>0.38477004173489526</v>
      </c>
      <c r="K125" s="16">
        <f>K126+K136</f>
        <v>4184.68</v>
      </c>
    </row>
    <row r="126" spans="1:11" ht="13.8" customHeight="1" thickTop="1" x14ac:dyDescent="0.25">
      <c r="A126" s="38"/>
      <c r="B126" s="20"/>
      <c r="C126" s="416" t="s">
        <v>86</v>
      </c>
      <c r="D126" s="416"/>
      <c r="E126" s="27"/>
      <c r="F126" s="28" t="s">
        <v>87</v>
      </c>
      <c r="G126" s="417">
        <f>SUM(G127+G128+G129+G131+G132+G133+G134+G135+G130)</f>
        <v>517760</v>
      </c>
      <c r="H126" s="418"/>
      <c r="I126" s="33">
        <f>SUM(I127+I128+I129+I131+I132+I133+I134+I135+I130)</f>
        <v>199876.95999999996</v>
      </c>
      <c r="J126" s="29">
        <f t="shared" si="19"/>
        <v>0.38604171817058092</v>
      </c>
      <c r="K126" s="33">
        <f>SUM(K128:K135)</f>
        <v>4184.68</v>
      </c>
    </row>
    <row r="127" spans="1:11" ht="17.399999999999999" customHeight="1" x14ac:dyDescent="0.25">
      <c r="A127" s="38"/>
      <c r="B127" s="20"/>
      <c r="C127" s="58"/>
      <c r="D127" s="58"/>
      <c r="E127" s="335" t="s">
        <v>58</v>
      </c>
      <c r="F127" s="21" t="s">
        <v>59</v>
      </c>
      <c r="G127" s="169">
        <v>184560</v>
      </c>
      <c r="H127" s="173"/>
      <c r="I127" s="22">
        <v>83690.75</v>
      </c>
      <c r="J127" s="23">
        <f>I127/G127</f>
        <v>0.45346093411356742</v>
      </c>
      <c r="K127" s="22">
        <v>0</v>
      </c>
    </row>
    <row r="128" spans="1:11" ht="13.95" customHeight="1" x14ac:dyDescent="0.25">
      <c r="A128" s="38"/>
      <c r="B128" s="98"/>
      <c r="C128" s="413"/>
      <c r="D128" s="413"/>
      <c r="E128" s="98" t="s">
        <v>350</v>
      </c>
      <c r="F128" s="21" t="s">
        <v>351</v>
      </c>
      <c r="G128" s="174">
        <v>11000</v>
      </c>
      <c r="H128" s="175" t="s">
        <v>217</v>
      </c>
      <c r="I128" s="22">
        <v>819.7</v>
      </c>
      <c r="J128" s="23">
        <f t="shared" si="19"/>
        <v>7.4518181818181817E-2</v>
      </c>
      <c r="K128" s="22">
        <v>0</v>
      </c>
    </row>
    <row r="129" spans="1:22" ht="13.2" customHeight="1" x14ac:dyDescent="0.25">
      <c r="A129" s="38"/>
      <c r="B129" s="98"/>
      <c r="C129" s="413"/>
      <c r="D129" s="413"/>
      <c r="E129" s="98" t="s">
        <v>24</v>
      </c>
      <c r="F129" s="21" t="s">
        <v>25</v>
      </c>
      <c r="G129" s="174">
        <v>90000</v>
      </c>
      <c r="H129" s="175" t="s">
        <v>218</v>
      </c>
      <c r="I129" s="22">
        <v>41408.11</v>
      </c>
      <c r="J129" s="23">
        <f t="shared" si="19"/>
        <v>0.46009011111111114</v>
      </c>
      <c r="K129" s="22">
        <v>3164.04</v>
      </c>
    </row>
    <row r="130" spans="1:22" s="341" customFormat="1" ht="13.2" customHeight="1" x14ac:dyDescent="0.25">
      <c r="A130" s="38"/>
      <c r="B130" s="335"/>
      <c r="C130" s="335"/>
      <c r="D130" s="335"/>
      <c r="E130" s="335" t="s">
        <v>110</v>
      </c>
      <c r="F130" s="21" t="s">
        <v>111</v>
      </c>
      <c r="G130" s="347">
        <v>5000</v>
      </c>
      <c r="H130" s="175"/>
      <c r="I130" s="245">
        <v>52.71</v>
      </c>
      <c r="J130" s="246">
        <f t="shared" si="19"/>
        <v>1.0542000000000001E-2</v>
      </c>
      <c r="K130" s="245">
        <v>0</v>
      </c>
    </row>
    <row r="131" spans="1:22" ht="13.95" customHeight="1" x14ac:dyDescent="0.25">
      <c r="A131" s="38"/>
      <c r="B131" s="98"/>
      <c r="C131" s="413"/>
      <c r="D131" s="413"/>
      <c r="E131" s="98" t="s">
        <v>68</v>
      </c>
      <c r="F131" s="21" t="s">
        <v>69</v>
      </c>
      <c r="G131" s="174">
        <v>70000</v>
      </c>
      <c r="H131" s="175" t="s">
        <v>213</v>
      </c>
      <c r="I131" s="22">
        <v>43200.09</v>
      </c>
      <c r="J131" s="23">
        <f t="shared" si="19"/>
        <v>0.61714414285714281</v>
      </c>
      <c r="K131" s="22">
        <v>1020.64</v>
      </c>
    </row>
    <row r="132" spans="1:22" ht="13.2" customHeight="1" x14ac:dyDescent="0.25">
      <c r="A132" s="38"/>
      <c r="B132" s="64"/>
      <c r="C132" s="413"/>
      <c r="D132" s="413"/>
      <c r="E132" s="98" t="s">
        <v>70</v>
      </c>
      <c r="F132" s="21" t="s">
        <v>71</v>
      </c>
      <c r="G132" s="174">
        <v>20000</v>
      </c>
      <c r="H132" s="175" t="s">
        <v>143</v>
      </c>
      <c r="I132" s="22">
        <v>0</v>
      </c>
      <c r="J132" s="23">
        <f t="shared" si="19"/>
        <v>0</v>
      </c>
      <c r="K132" s="22">
        <v>0</v>
      </c>
    </row>
    <row r="133" spans="1:22" ht="13.2" customHeight="1" x14ac:dyDescent="0.25">
      <c r="A133" s="38"/>
      <c r="B133" s="65"/>
      <c r="C133" s="65"/>
      <c r="D133" s="42"/>
      <c r="E133" s="98" t="s">
        <v>26</v>
      </c>
      <c r="F133" s="21" t="s">
        <v>27</v>
      </c>
      <c r="G133" s="174">
        <v>100000</v>
      </c>
      <c r="H133" s="175" t="s">
        <v>213</v>
      </c>
      <c r="I133" s="22">
        <v>18927.740000000002</v>
      </c>
      <c r="J133" s="23">
        <f>I133/G133</f>
        <v>0.18927740000000001</v>
      </c>
      <c r="K133" s="22">
        <v>0</v>
      </c>
    </row>
    <row r="134" spans="1:22" ht="21" customHeight="1" x14ac:dyDescent="0.25">
      <c r="A134" s="38"/>
      <c r="B134" s="65"/>
      <c r="C134" s="65"/>
      <c r="D134" s="42"/>
      <c r="E134" s="98" t="s">
        <v>72</v>
      </c>
      <c r="F134" s="9" t="s">
        <v>214</v>
      </c>
      <c r="G134" s="174">
        <v>2200</v>
      </c>
      <c r="H134" s="175"/>
      <c r="I134" s="22">
        <v>592.86</v>
      </c>
      <c r="J134" s="23">
        <f>I134/G134</f>
        <v>0.26948181818181821</v>
      </c>
      <c r="K134" s="22">
        <v>0</v>
      </c>
    </row>
    <row r="135" spans="1:22" ht="13.2" customHeight="1" x14ac:dyDescent="0.25">
      <c r="A135" s="38"/>
      <c r="B135" s="65"/>
      <c r="C135" s="65"/>
      <c r="D135" s="42"/>
      <c r="E135" s="98" t="s">
        <v>28</v>
      </c>
      <c r="F135" s="21" t="s">
        <v>29</v>
      </c>
      <c r="G135" s="174">
        <v>35000</v>
      </c>
      <c r="H135" s="175" t="s">
        <v>73</v>
      </c>
      <c r="I135" s="22">
        <v>11185</v>
      </c>
      <c r="J135" s="23">
        <f>I135/G135</f>
        <v>0.31957142857142856</v>
      </c>
      <c r="K135" s="22">
        <v>0</v>
      </c>
    </row>
    <row r="136" spans="1:22" ht="13.2" customHeight="1" x14ac:dyDescent="0.25">
      <c r="A136" s="38"/>
      <c r="B136" s="98"/>
      <c r="C136" s="416" t="s">
        <v>284</v>
      </c>
      <c r="D136" s="416"/>
      <c r="E136" s="27"/>
      <c r="F136" s="72" t="s">
        <v>285</v>
      </c>
      <c r="G136" s="177">
        <f>SUM(G137:G138)</f>
        <v>6000</v>
      </c>
      <c r="H136" s="177"/>
      <c r="I136" s="33">
        <f>SUM(I137:I138)</f>
        <v>0</v>
      </c>
      <c r="J136" s="29">
        <f t="shared" si="19"/>
        <v>0</v>
      </c>
      <c r="K136" s="33">
        <v>0</v>
      </c>
    </row>
    <row r="137" spans="1:22" ht="17.100000000000001" customHeight="1" x14ac:dyDescent="0.25">
      <c r="A137" s="38"/>
      <c r="B137" s="98"/>
      <c r="C137" s="98"/>
      <c r="D137" s="98"/>
      <c r="E137" s="79" t="s">
        <v>24</v>
      </c>
      <c r="F137" s="80" t="s">
        <v>25</v>
      </c>
      <c r="G137" s="174">
        <v>5000</v>
      </c>
      <c r="H137" s="178"/>
      <c r="I137" s="22">
        <v>0</v>
      </c>
      <c r="J137" s="23">
        <f t="shared" si="19"/>
        <v>0</v>
      </c>
      <c r="K137" s="22">
        <v>0</v>
      </c>
    </row>
    <row r="138" spans="1:22" ht="24.6" customHeight="1" x14ac:dyDescent="0.25">
      <c r="A138" s="38"/>
      <c r="B138" s="98"/>
      <c r="C138" s="98"/>
      <c r="D138" s="98"/>
      <c r="E138" s="83" t="s">
        <v>54</v>
      </c>
      <c r="F138" s="84" t="s">
        <v>55</v>
      </c>
      <c r="G138" s="174">
        <v>1000</v>
      </c>
      <c r="H138" s="178"/>
      <c r="I138" s="22">
        <v>0</v>
      </c>
      <c r="J138" s="23">
        <f t="shared" si="19"/>
        <v>0</v>
      </c>
      <c r="K138" s="22">
        <v>0</v>
      </c>
    </row>
    <row r="139" spans="1:22" ht="12.6" customHeight="1" x14ac:dyDescent="0.25">
      <c r="A139" s="38"/>
      <c r="B139" s="236"/>
      <c r="C139" s="234" t="s">
        <v>365</v>
      </c>
      <c r="D139" s="235"/>
      <c r="E139" s="248"/>
      <c r="F139" s="249" t="s">
        <v>366</v>
      </c>
      <c r="G139" s="250">
        <f>SUM(G140)</f>
        <v>6000</v>
      </c>
      <c r="H139" s="250">
        <f t="shared" ref="H139:I139" si="20">SUM(H140)</f>
        <v>0</v>
      </c>
      <c r="I139" s="250">
        <f t="shared" si="20"/>
        <v>1571.37</v>
      </c>
      <c r="J139" s="29">
        <f t="shared" si="19"/>
        <v>0.26189499999999999</v>
      </c>
      <c r="K139" s="265">
        <v>0</v>
      </c>
    </row>
    <row r="140" spans="1:22" ht="16.8" customHeight="1" x14ac:dyDescent="0.25">
      <c r="A140" s="38"/>
      <c r="B140" s="236"/>
      <c r="C140" s="299"/>
      <c r="D140" s="229"/>
      <c r="E140" s="83" t="s">
        <v>24</v>
      </c>
      <c r="F140" s="84" t="s">
        <v>25</v>
      </c>
      <c r="G140" s="238">
        <v>6000</v>
      </c>
      <c r="H140" s="178"/>
      <c r="I140" s="22">
        <v>1571.37</v>
      </c>
      <c r="J140" s="23">
        <f>SUM(I140/G140)</f>
        <v>0.26189499999999999</v>
      </c>
      <c r="K140" s="22">
        <v>0</v>
      </c>
      <c r="R140" s="341"/>
      <c r="S140" s="341"/>
      <c r="T140" s="341"/>
      <c r="U140" s="341"/>
      <c r="V140" s="341"/>
    </row>
    <row r="141" spans="1:22" s="278" customFormat="1" ht="12.6" customHeight="1" x14ac:dyDescent="0.25">
      <c r="A141" s="38"/>
      <c r="B141" s="274"/>
      <c r="C141" s="276" t="s">
        <v>374</v>
      </c>
      <c r="D141" s="276"/>
      <c r="E141" s="300"/>
      <c r="F141" s="85" t="s">
        <v>20</v>
      </c>
      <c r="G141" s="177">
        <f>SUM(G142+G143)</f>
        <v>8741.41</v>
      </c>
      <c r="H141" s="177">
        <f t="shared" ref="H141:I141" si="21">SUM(H142+H143)</f>
        <v>0</v>
      </c>
      <c r="I141" s="177">
        <f t="shared" si="21"/>
        <v>5750.88</v>
      </c>
      <c r="J141" s="29">
        <f t="shared" ref="J141:J143" si="22">SUM(I141/G141)</f>
        <v>0.65788928788376244</v>
      </c>
      <c r="K141" s="277">
        <v>0</v>
      </c>
    </row>
    <row r="142" spans="1:22" s="341" customFormat="1" ht="12.6" customHeight="1" x14ac:dyDescent="0.25">
      <c r="A142" s="38"/>
      <c r="B142" s="344"/>
      <c r="C142" s="382"/>
      <c r="D142" s="108"/>
      <c r="E142" s="384" t="s">
        <v>22</v>
      </c>
      <c r="F142" s="385" t="s">
        <v>23</v>
      </c>
      <c r="G142" s="195">
        <v>1484.16</v>
      </c>
      <c r="H142" s="190"/>
      <c r="I142" s="7">
        <v>1484.16</v>
      </c>
      <c r="J142" s="37">
        <f t="shared" si="22"/>
        <v>1</v>
      </c>
      <c r="K142" s="36">
        <v>0</v>
      </c>
    </row>
    <row r="143" spans="1:22" s="278" customFormat="1" ht="13.8" customHeight="1" x14ac:dyDescent="0.25">
      <c r="A143" s="38"/>
      <c r="B143" s="274"/>
      <c r="C143" s="123"/>
      <c r="D143" s="339"/>
      <c r="E143" s="383" t="s">
        <v>26</v>
      </c>
      <c r="F143" s="222" t="s">
        <v>27</v>
      </c>
      <c r="G143" s="279">
        <v>7257.25</v>
      </c>
      <c r="H143" s="178"/>
      <c r="I143" s="245">
        <v>4266.72</v>
      </c>
      <c r="J143" s="246">
        <f t="shared" si="22"/>
        <v>0.5879251782700059</v>
      </c>
      <c r="K143" s="245">
        <v>0</v>
      </c>
    </row>
    <row r="144" spans="1:22" s="341" customFormat="1" ht="46.2" customHeight="1" thickBot="1" x14ac:dyDescent="0.3">
      <c r="A144" s="38"/>
      <c r="B144" s="340" t="s">
        <v>401</v>
      </c>
      <c r="C144" s="431"/>
      <c r="D144" s="431"/>
      <c r="E144" s="340"/>
      <c r="F144" s="18" t="s">
        <v>403</v>
      </c>
      <c r="G144" s="436">
        <f>SUM(G145)</f>
        <v>48</v>
      </c>
      <c r="H144" s="437"/>
      <c r="I144" s="16">
        <f>SUM(I145)</f>
        <v>48</v>
      </c>
      <c r="J144" s="19">
        <f t="shared" ref="J144:J145" si="23">I144/G144</f>
        <v>1</v>
      </c>
      <c r="K144" s="16">
        <f>K145</f>
        <v>0</v>
      </c>
    </row>
    <row r="145" spans="1:22" s="341" customFormat="1" ht="46.2" customHeight="1" thickTop="1" x14ac:dyDescent="0.25">
      <c r="A145" s="38"/>
      <c r="B145" s="20"/>
      <c r="C145" s="416" t="s">
        <v>402</v>
      </c>
      <c r="D145" s="416"/>
      <c r="E145" s="27"/>
      <c r="F145" s="28" t="s">
        <v>404</v>
      </c>
      <c r="G145" s="417">
        <f>SUM(G146)</f>
        <v>48</v>
      </c>
      <c r="H145" s="418"/>
      <c r="I145" s="336">
        <f>SUM(I146)</f>
        <v>48</v>
      </c>
      <c r="J145" s="29">
        <f t="shared" si="23"/>
        <v>1</v>
      </c>
      <c r="K145" s="336">
        <v>0</v>
      </c>
    </row>
    <row r="146" spans="1:22" s="341" customFormat="1" ht="13.8" customHeight="1" x14ac:dyDescent="0.25">
      <c r="A146" s="38"/>
      <c r="B146" s="20"/>
      <c r="C146" s="345"/>
      <c r="D146" s="345"/>
      <c r="E146" s="335" t="s">
        <v>104</v>
      </c>
      <c r="F146" s="21" t="s">
        <v>105</v>
      </c>
      <c r="G146" s="337">
        <v>48</v>
      </c>
      <c r="H146" s="343"/>
      <c r="I146" s="245">
        <v>48</v>
      </c>
      <c r="J146" s="246">
        <f>I146/G146</f>
        <v>1</v>
      </c>
      <c r="K146" s="245">
        <v>0</v>
      </c>
    </row>
    <row r="147" spans="1:22" s="341" customFormat="1" ht="13.8" customHeight="1" x14ac:dyDescent="0.25">
      <c r="A147" s="38"/>
      <c r="B147" s="43" t="s">
        <v>199</v>
      </c>
      <c r="C147" s="43" t="s">
        <v>200</v>
      </c>
      <c r="D147" s="43"/>
      <c r="E147" s="43" t="s">
        <v>201</v>
      </c>
      <c r="F147" s="43" t="s">
        <v>202</v>
      </c>
      <c r="G147" s="57" t="s">
        <v>203</v>
      </c>
      <c r="H147" s="57"/>
      <c r="I147" s="44" t="s">
        <v>204</v>
      </c>
      <c r="J147" s="44" t="s">
        <v>205</v>
      </c>
      <c r="K147" s="44" t="s">
        <v>206</v>
      </c>
    </row>
    <row r="148" spans="1:22" ht="17.100000000000001" customHeight="1" thickBot="1" x14ac:dyDescent="0.3">
      <c r="A148" s="38"/>
      <c r="B148" s="240" t="s">
        <v>89</v>
      </c>
      <c r="C148" s="429"/>
      <c r="D148" s="430"/>
      <c r="E148" s="262"/>
      <c r="F148" s="93" t="s">
        <v>90</v>
      </c>
      <c r="G148" s="422">
        <f>SUM(G149)</f>
        <v>1070000</v>
      </c>
      <c r="H148" s="423"/>
      <c r="I148" s="16">
        <f>SUM(I149)</f>
        <v>486345.1</v>
      </c>
      <c r="J148" s="19">
        <f t="shared" si="19"/>
        <v>0.45452813084112148</v>
      </c>
      <c r="K148" s="16">
        <v>0</v>
      </c>
      <c r="V148" s="278"/>
    </row>
    <row r="149" spans="1:22" ht="44.4" customHeight="1" thickTop="1" x14ac:dyDescent="0.25">
      <c r="A149" s="38"/>
      <c r="B149" s="20"/>
      <c r="C149" s="419" t="s">
        <v>91</v>
      </c>
      <c r="D149" s="419"/>
      <c r="E149" s="39"/>
      <c r="F149" s="40" t="s">
        <v>381</v>
      </c>
      <c r="G149" s="424">
        <f>SUM(G150)</f>
        <v>1070000</v>
      </c>
      <c r="H149" s="425"/>
      <c r="I149" s="14">
        <f>SUM(I150)</f>
        <v>486345.1</v>
      </c>
      <c r="J149" s="41">
        <f t="shared" si="19"/>
        <v>0.45452813084112148</v>
      </c>
      <c r="K149" s="14">
        <v>0</v>
      </c>
    </row>
    <row r="150" spans="1:22" ht="48" customHeight="1" x14ac:dyDescent="0.25">
      <c r="A150" s="38"/>
      <c r="B150" s="98"/>
      <c r="C150" s="413"/>
      <c r="D150" s="413"/>
      <c r="E150" s="30" t="s">
        <v>92</v>
      </c>
      <c r="F150" s="31" t="s">
        <v>93</v>
      </c>
      <c r="G150" s="414">
        <v>1070000</v>
      </c>
      <c r="H150" s="415"/>
      <c r="I150" s="13">
        <v>486345.1</v>
      </c>
      <c r="J150" s="32">
        <f t="shared" si="19"/>
        <v>0.45452813084112148</v>
      </c>
      <c r="K150" s="22">
        <v>0</v>
      </c>
    </row>
    <row r="151" spans="1:22" ht="17.100000000000001" customHeight="1" thickBot="1" x14ac:dyDescent="0.3">
      <c r="A151" s="38"/>
      <c r="B151" s="99" t="s">
        <v>94</v>
      </c>
      <c r="C151" s="431"/>
      <c r="D151" s="431"/>
      <c r="E151" s="99"/>
      <c r="F151" s="18" t="s">
        <v>95</v>
      </c>
      <c r="G151" s="422">
        <f>SUM(G152)</f>
        <v>224663.5</v>
      </c>
      <c r="H151" s="434"/>
      <c r="I151" s="16">
        <f>SUM(I152)</f>
        <v>0</v>
      </c>
      <c r="J151" s="19">
        <f t="shared" si="19"/>
        <v>0</v>
      </c>
      <c r="K151" s="16">
        <v>0</v>
      </c>
    </row>
    <row r="152" spans="1:22" ht="17.100000000000001" customHeight="1" thickTop="1" x14ac:dyDescent="0.25">
      <c r="A152" s="38"/>
      <c r="B152" s="20"/>
      <c r="C152" s="419" t="s">
        <v>96</v>
      </c>
      <c r="D152" s="419"/>
      <c r="E152" s="39"/>
      <c r="F152" s="40" t="s">
        <v>97</v>
      </c>
      <c r="G152" s="424">
        <f>SUM(G153)</f>
        <v>224663.5</v>
      </c>
      <c r="H152" s="425"/>
      <c r="I152" s="14">
        <f>SUM(I153)</f>
        <v>0</v>
      </c>
      <c r="J152" s="41">
        <f t="shared" si="19"/>
        <v>0</v>
      </c>
      <c r="K152" s="14">
        <v>0</v>
      </c>
    </row>
    <row r="153" spans="1:22" ht="13.8" customHeight="1" x14ac:dyDescent="0.25">
      <c r="A153" s="38"/>
      <c r="B153" s="98"/>
      <c r="C153" s="413"/>
      <c r="D153" s="413"/>
      <c r="E153" s="30" t="s">
        <v>98</v>
      </c>
      <c r="F153" s="31" t="s">
        <v>99</v>
      </c>
      <c r="G153" s="432">
        <v>224663.5</v>
      </c>
      <c r="H153" s="433"/>
      <c r="I153" s="12">
        <v>0</v>
      </c>
      <c r="J153" s="32">
        <f t="shared" si="19"/>
        <v>0</v>
      </c>
      <c r="K153" s="13">
        <v>0</v>
      </c>
    </row>
    <row r="154" spans="1:22" ht="17.100000000000001" customHeight="1" thickBot="1" x14ac:dyDescent="0.3">
      <c r="A154" s="38"/>
      <c r="B154" s="273" t="s">
        <v>100</v>
      </c>
      <c r="C154" s="435"/>
      <c r="D154" s="435"/>
      <c r="E154" s="273"/>
      <c r="F154" s="59" t="s">
        <v>101</v>
      </c>
      <c r="G154" s="426">
        <f>SUM(G155+G179+G189+G211+G222+G226+G237+G247+G257+G260)</f>
        <v>20674523.059999999</v>
      </c>
      <c r="H154" s="427"/>
      <c r="I154" s="393">
        <f>SUM(I155+I179+I189+I211+I222+I237+I247+I257+I260+I226)</f>
        <v>10538738.120000003</v>
      </c>
      <c r="J154" s="61">
        <f t="shared" si="19"/>
        <v>0.50974516265334358</v>
      </c>
      <c r="K154" s="308">
        <f>K155+K179+K189+K211+K222+K226+K237+K247+K257+K260</f>
        <v>475690.89</v>
      </c>
    </row>
    <row r="155" spans="1:22" ht="17.100000000000001" customHeight="1" thickTop="1" x14ac:dyDescent="0.25">
      <c r="A155" s="38"/>
      <c r="B155" s="20"/>
      <c r="C155" s="419" t="s">
        <v>102</v>
      </c>
      <c r="D155" s="419"/>
      <c r="E155" s="39"/>
      <c r="F155" s="40" t="s">
        <v>103</v>
      </c>
      <c r="G155" s="424">
        <f>SUM(G156+G157+G158+G159+G160+G163+G164+G166+G167+G168+G169+G170+G171+G175+G161+G162+G172+G173+G174+G165+G176+G177+G178)</f>
        <v>14020897.430000002</v>
      </c>
      <c r="H155" s="425"/>
      <c r="I155" s="14">
        <f>SUM(I156+I157+I158+I159+I160+I163+I164+I166+I167+I168+I169+I170+I171+I175+I161+I162+I172+I173+I174+I165+I176+I177+I178)</f>
        <v>7257959.1200000001</v>
      </c>
      <c r="J155" s="41">
        <f t="shared" si="19"/>
        <v>0.51765296452924692</v>
      </c>
      <c r="K155" s="53">
        <f>SUM(K156+K157+K158+K159+K160+K161+K162+K163+K164+K166+K167+K168+K169+K170+K171+K172+K173+K174+K175+K176+K177+K178)</f>
        <v>369257.56999999995</v>
      </c>
    </row>
    <row r="156" spans="1:22" ht="21" customHeight="1" x14ac:dyDescent="0.25">
      <c r="A156" s="38"/>
      <c r="B156" s="98"/>
      <c r="C156" s="413"/>
      <c r="D156" s="413"/>
      <c r="E156" s="34" t="s">
        <v>62</v>
      </c>
      <c r="F156" s="35" t="s">
        <v>63</v>
      </c>
      <c r="G156" s="163">
        <v>509439.97</v>
      </c>
      <c r="H156" s="175" t="s">
        <v>219</v>
      </c>
      <c r="I156" s="36">
        <v>238735.92</v>
      </c>
      <c r="J156" s="37">
        <f t="shared" si="19"/>
        <v>0.4686242424205545</v>
      </c>
      <c r="K156" s="22">
        <v>12122.63</v>
      </c>
    </row>
    <row r="157" spans="1:22" ht="17.100000000000001" customHeight="1" x14ac:dyDescent="0.25">
      <c r="A157" s="38"/>
      <c r="B157" s="268"/>
      <c r="C157" s="413"/>
      <c r="D157" s="413"/>
      <c r="E157" s="268" t="s">
        <v>5</v>
      </c>
      <c r="F157" s="21" t="s">
        <v>6</v>
      </c>
      <c r="G157" s="160">
        <v>1702622.98</v>
      </c>
      <c r="H157" s="179" t="s">
        <v>220</v>
      </c>
      <c r="I157" s="245">
        <v>817635.27</v>
      </c>
      <c r="J157" s="246">
        <f t="shared" si="19"/>
        <v>0.48022097646068423</v>
      </c>
      <c r="K157" s="245">
        <v>30076.2</v>
      </c>
    </row>
    <row r="158" spans="1:22" ht="17.100000000000001" customHeight="1" x14ac:dyDescent="0.25">
      <c r="A158" s="38"/>
      <c r="B158" s="98"/>
      <c r="C158" s="413"/>
      <c r="D158" s="413"/>
      <c r="E158" s="98" t="s">
        <v>7</v>
      </c>
      <c r="F158" s="21" t="s">
        <v>8</v>
      </c>
      <c r="G158" s="160">
        <v>118491.23</v>
      </c>
      <c r="H158" s="175" t="s">
        <v>221</v>
      </c>
      <c r="I158" s="22">
        <v>118491.23</v>
      </c>
      <c r="J158" s="23">
        <f t="shared" si="19"/>
        <v>1</v>
      </c>
      <c r="K158" s="22">
        <v>0</v>
      </c>
    </row>
    <row r="159" spans="1:22" ht="17.100000000000001" customHeight="1" x14ac:dyDescent="0.25">
      <c r="A159" s="38"/>
      <c r="B159" s="98"/>
      <c r="C159" s="413"/>
      <c r="D159" s="413"/>
      <c r="E159" s="98" t="s">
        <v>9</v>
      </c>
      <c r="F159" s="21" t="s">
        <v>10</v>
      </c>
      <c r="G159" s="160">
        <v>1660965.17</v>
      </c>
      <c r="H159" s="175" t="s">
        <v>222</v>
      </c>
      <c r="I159" s="22">
        <v>870083.1</v>
      </c>
      <c r="J159" s="23">
        <f t="shared" si="19"/>
        <v>0.52384186960404477</v>
      </c>
      <c r="K159" s="22">
        <v>129456.35</v>
      </c>
    </row>
    <row r="160" spans="1:22" ht="24.6" customHeight="1" x14ac:dyDescent="0.25">
      <c r="A160" s="38"/>
      <c r="B160" s="98"/>
      <c r="C160" s="413"/>
      <c r="D160" s="413"/>
      <c r="E160" s="98" t="s">
        <v>21</v>
      </c>
      <c r="F160" s="21" t="s">
        <v>371</v>
      </c>
      <c r="G160" s="160">
        <v>241391.89</v>
      </c>
      <c r="H160" s="175" t="s">
        <v>223</v>
      </c>
      <c r="I160" s="22">
        <v>81634.06</v>
      </c>
      <c r="J160" s="23">
        <f t="shared" si="19"/>
        <v>0.33818062404664878</v>
      </c>
      <c r="K160" s="22">
        <v>12602.63</v>
      </c>
    </row>
    <row r="161" spans="1:18" s="278" customFormat="1" ht="16.2" customHeight="1" x14ac:dyDescent="0.25">
      <c r="A161" s="38"/>
      <c r="B161" s="268"/>
      <c r="C161" s="268"/>
      <c r="D161" s="268"/>
      <c r="E161" s="335" t="s">
        <v>22</v>
      </c>
      <c r="F161" s="45" t="s">
        <v>23</v>
      </c>
      <c r="G161" s="160">
        <v>30000</v>
      </c>
      <c r="H161" s="179"/>
      <c r="I161" s="245">
        <v>14766.73</v>
      </c>
      <c r="J161" s="246">
        <f t="shared" si="19"/>
        <v>0.49222433333333332</v>
      </c>
      <c r="K161" s="245">
        <v>728</v>
      </c>
    </row>
    <row r="162" spans="1:18" s="278" customFormat="1" ht="16.2" customHeight="1" x14ac:dyDescent="0.25">
      <c r="A162" s="38"/>
      <c r="B162" s="268"/>
      <c r="C162" s="268"/>
      <c r="D162" s="268"/>
      <c r="E162" s="335" t="s">
        <v>24</v>
      </c>
      <c r="F162" s="21" t="s">
        <v>25</v>
      </c>
      <c r="G162" s="160">
        <v>419525</v>
      </c>
      <c r="H162" s="179"/>
      <c r="I162" s="245">
        <v>303194.83</v>
      </c>
      <c r="J162" s="246">
        <f t="shared" si="19"/>
        <v>0.72270980275311369</v>
      </c>
      <c r="K162" s="245">
        <v>39.99</v>
      </c>
    </row>
    <row r="163" spans="1:18" ht="17.100000000000001" customHeight="1" x14ac:dyDescent="0.25">
      <c r="A163" s="38"/>
      <c r="B163" s="98"/>
      <c r="C163" s="413"/>
      <c r="D163" s="413"/>
      <c r="E163" s="98" t="s">
        <v>338</v>
      </c>
      <c r="F163" s="21" t="s">
        <v>339</v>
      </c>
      <c r="G163" s="160">
        <v>175</v>
      </c>
      <c r="H163" s="179" t="s">
        <v>224</v>
      </c>
      <c r="I163" s="22">
        <v>175</v>
      </c>
      <c r="J163" s="23">
        <f t="shared" si="19"/>
        <v>1</v>
      </c>
      <c r="K163" s="22">
        <v>0</v>
      </c>
    </row>
    <row r="164" spans="1:18" ht="14.4" customHeight="1" x14ac:dyDescent="0.25">
      <c r="A164" s="38"/>
      <c r="B164" s="98"/>
      <c r="C164" s="413"/>
      <c r="D164" s="413"/>
      <c r="E164" s="98" t="s">
        <v>68</v>
      </c>
      <c r="F164" s="21" t="s">
        <v>69</v>
      </c>
      <c r="G164" s="160">
        <v>127100</v>
      </c>
      <c r="H164" s="175" t="s">
        <v>225</v>
      </c>
      <c r="I164" s="22">
        <v>71242.86</v>
      </c>
      <c r="J164" s="23">
        <f t="shared" ref="J164:J178" si="24">I164/G164</f>
        <v>0.56052604248623128</v>
      </c>
      <c r="K164" s="22">
        <v>0</v>
      </c>
    </row>
    <row r="165" spans="1:18" s="341" customFormat="1" ht="14.4" customHeight="1" x14ac:dyDescent="0.25">
      <c r="A165" s="38"/>
      <c r="B165" s="335"/>
      <c r="C165" s="335"/>
      <c r="D165" s="335"/>
      <c r="E165" s="335" t="s">
        <v>46</v>
      </c>
      <c r="F165" s="21" t="s">
        <v>47</v>
      </c>
      <c r="G165" s="160">
        <v>615</v>
      </c>
      <c r="H165" s="175"/>
      <c r="I165" s="245">
        <v>615</v>
      </c>
      <c r="J165" s="246">
        <f t="shared" si="24"/>
        <v>1</v>
      </c>
      <c r="K165" s="245">
        <v>0</v>
      </c>
    </row>
    <row r="166" spans="1:18" ht="15.6" customHeight="1" x14ac:dyDescent="0.25">
      <c r="A166" s="38"/>
      <c r="B166" s="98"/>
      <c r="C166" s="413"/>
      <c r="D166" s="413"/>
      <c r="E166" s="98" t="s">
        <v>70</v>
      </c>
      <c r="F166" s="21" t="s">
        <v>71</v>
      </c>
      <c r="G166" s="160">
        <v>9470</v>
      </c>
      <c r="H166" s="175" t="s">
        <v>226</v>
      </c>
      <c r="I166" s="22">
        <v>1066</v>
      </c>
      <c r="J166" s="23">
        <f>I166/G166</f>
        <v>0.11256599788806758</v>
      </c>
      <c r="K166" s="22">
        <v>0</v>
      </c>
    </row>
    <row r="167" spans="1:18" ht="15.6" customHeight="1" x14ac:dyDescent="0.25">
      <c r="A167" s="38"/>
      <c r="B167" s="98"/>
      <c r="C167" s="413"/>
      <c r="D167" s="413"/>
      <c r="E167" s="98" t="s">
        <v>26</v>
      </c>
      <c r="F167" s="21" t="s">
        <v>27</v>
      </c>
      <c r="G167" s="160">
        <v>196536</v>
      </c>
      <c r="H167" s="175" t="s">
        <v>227</v>
      </c>
      <c r="I167" s="22">
        <v>95627.78</v>
      </c>
      <c r="J167" s="23">
        <f t="shared" si="24"/>
        <v>0.48656622705255015</v>
      </c>
      <c r="K167" s="22">
        <v>344</v>
      </c>
    </row>
    <row r="168" spans="1:18" ht="25.5" customHeight="1" x14ac:dyDescent="0.25">
      <c r="A168" s="38"/>
      <c r="B168" s="98"/>
      <c r="C168" s="413"/>
      <c r="D168" s="413"/>
      <c r="E168" s="98" t="s">
        <v>72</v>
      </c>
      <c r="F168" s="9" t="s">
        <v>214</v>
      </c>
      <c r="G168" s="160">
        <v>16865.939999999999</v>
      </c>
      <c r="H168" s="175" t="s">
        <v>228</v>
      </c>
      <c r="I168" s="22">
        <v>5528.63</v>
      </c>
      <c r="J168" s="23">
        <f t="shared" si="24"/>
        <v>0.32779850989627618</v>
      </c>
      <c r="K168" s="22">
        <v>0</v>
      </c>
    </row>
    <row r="169" spans="1:18" ht="12" customHeight="1" x14ac:dyDescent="0.25">
      <c r="A169" s="38"/>
      <c r="B169" s="98"/>
      <c r="C169" s="413"/>
      <c r="D169" s="413"/>
      <c r="E169" s="98" t="s">
        <v>52</v>
      </c>
      <c r="F169" s="21" t="s">
        <v>53</v>
      </c>
      <c r="G169" s="160">
        <v>4934</v>
      </c>
      <c r="H169" s="175" t="s">
        <v>229</v>
      </c>
      <c r="I169" s="22">
        <v>1678.12</v>
      </c>
      <c r="J169" s="23">
        <f t="shared" si="24"/>
        <v>0.34011349817592212</v>
      </c>
      <c r="K169" s="22">
        <v>18.91</v>
      </c>
    </row>
    <row r="170" spans="1:18" ht="13.8" customHeight="1" x14ac:dyDescent="0.25">
      <c r="A170" s="38"/>
      <c r="B170" s="98"/>
      <c r="C170" s="413"/>
      <c r="D170" s="413"/>
      <c r="E170" s="98" t="s">
        <v>28</v>
      </c>
      <c r="F170" s="21" t="s">
        <v>29</v>
      </c>
      <c r="G170" s="160">
        <v>19296</v>
      </c>
      <c r="H170" s="175" t="s">
        <v>230</v>
      </c>
      <c r="I170" s="22">
        <v>19011</v>
      </c>
      <c r="J170" s="23">
        <f t="shared" si="24"/>
        <v>0.98523009950248752</v>
      </c>
      <c r="K170" s="22">
        <v>0</v>
      </c>
    </row>
    <row r="171" spans="1:18" ht="24.75" customHeight="1" x14ac:dyDescent="0.25">
      <c r="A171" s="38"/>
      <c r="B171" s="98"/>
      <c r="C171" s="413"/>
      <c r="D171" s="413"/>
      <c r="E171" s="98" t="s">
        <v>11</v>
      </c>
      <c r="F171" s="21" t="s">
        <v>12</v>
      </c>
      <c r="G171" s="160">
        <v>571605.04</v>
      </c>
      <c r="H171" s="175" t="s">
        <v>231</v>
      </c>
      <c r="I171" s="22">
        <v>428703.78</v>
      </c>
      <c r="J171" s="23">
        <f t="shared" si="24"/>
        <v>0.75</v>
      </c>
      <c r="K171" s="22">
        <v>0</v>
      </c>
    </row>
    <row r="172" spans="1:18" s="278" customFormat="1" ht="15" customHeight="1" x14ac:dyDescent="0.25">
      <c r="A172" s="38"/>
      <c r="B172" s="268"/>
      <c r="C172" s="268"/>
      <c r="D172" s="268"/>
      <c r="E172" s="268" t="s">
        <v>273</v>
      </c>
      <c r="F172" s="21" t="s">
        <v>274</v>
      </c>
      <c r="G172" s="160">
        <v>1400</v>
      </c>
      <c r="H172" s="175"/>
      <c r="I172" s="245">
        <v>0</v>
      </c>
      <c r="J172" s="246">
        <f t="shared" si="24"/>
        <v>0</v>
      </c>
      <c r="K172" s="245">
        <v>0</v>
      </c>
    </row>
    <row r="173" spans="1:18" s="278" customFormat="1" ht="12.6" customHeight="1" x14ac:dyDescent="0.25">
      <c r="A173" s="38"/>
      <c r="B173" s="268"/>
      <c r="C173" s="268"/>
      <c r="D173" s="268"/>
      <c r="E173" s="268" t="s">
        <v>104</v>
      </c>
      <c r="F173" s="21" t="s">
        <v>105</v>
      </c>
      <c r="G173" s="160">
        <v>6141.03</v>
      </c>
      <c r="H173" s="175"/>
      <c r="I173" s="245">
        <v>6141.03</v>
      </c>
      <c r="J173" s="246">
        <f t="shared" si="24"/>
        <v>1</v>
      </c>
      <c r="K173" s="245">
        <v>0</v>
      </c>
    </row>
    <row r="174" spans="1:18" s="278" customFormat="1" ht="22.8" customHeight="1" x14ac:dyDescent="0.25">
      <c r="A174" s="38"/>
      <c r="B174" s="268"/>
      <c r="C174" s="268"/>
      <c r="D174" s="268"/>
      <c r="E174" s="268" t="s">
        <v>375</v>
      </c>
      <c r="F174" s="21" t="s">
        <v>376</v>
      </c>
      <c r="G174" s="160">
        <v>8955</v>
      </c>
      <c r="H174" s="175"/>
      <c r="I174" s="245">
        <v>8955</v>
      </c>
      <c r="J174" s="246">
        <f t="shared" si="24"/>
        <v>1</v>
      </c>
      <c r="K174" s="245">
        <v>0</v>
      </c>
    </row>
    <row r="175" spans="1:18" ht="23.4" customHeight="1" x14ac:dyDescent="0.25">
      <c r="A175" s="38"/>
      <c r="B175" s="229"/>
      <c r="C175" s="229"/>
      <c r="D175" s="229"/>
      <c r="E175" s="268" t="s">
        <v>373</v>
      </c>
      <c r="F175" s="21" t="s">
        <v>372</v>
      </c>
      <c r="G175" s="160">
        <v>26655</v>
      </c>
      <c r="H175" s="175"/>
      <c r="I175" s="22">
        <v>4402.46</v>
      </c>
      <c r="J175" s="23">
        <f t="shared" si="24"/>
        <v>0.16516450947289441</v>
      </c>
      <c r="K175" s="245">
        <v>0</v>
      </c>
      <c r="L175" s="341"/>
      <c r="M175" s="341"/>
      <c r="N175" s="341"/>
      <c r="O175" s="341"/>
      <c r="P175" s="341"/>
      <c r="Q175" s="341"/>
      <c r="R175" s="341"/>
    </row>
    <row r="176" spans="1:18" s="341" customFormat="1" ht="16.8" customHeight="1" x14ac:dyDescent="0.25">
      <c r="A176" s="38"/>
      <c r="B176" s="335"/>
      <c r="C176" s="335"/>
      <c r="D176" s="335"/>
      <c r="E176" s="335" t="s">
        <v>405</v>
      </c>
      <c r="F176" s="21" t="s">
        <v>407</v>
      </c>
      <c r="G176" s="160">
        <v>7264290.8600000003</v>
      </c>
      <c r="H176" s="175"/>
      <c r="I176" s="63">
        <v>3585849</v>
      </c>
      <c r="J176" s="246">
        <f t="shared" si="24"/>
        <v>0.49362684797563294</v>
      </c>
      <c r="K176" s="245">
        <v>183868.86</v>
      </c>
    </row>
    <row r="177" spans="1:11" s="341" customFormat="1" ht="23.4" customHeight="1" x14ac:dyDescent="0.25">
      <c r="A177" s="38"/>
      <c r="B177" s="335"/>
      <c r="C177" s="335"/>
      <c r="D177" s="335"/>
      <c r="E177" s="335" t="s">
        <v>406</v>
      </c>
      <c r="F177" s="21" t="s">
        <v>408</v>
      </c>
      <c r="G177" s="160">
        <v>584422.31999999995</v>
      </c>
      <c r="H177" s="175"/>
      <c r="I177" s="63">
        <v>584422.31999999995</v>
      </c>
      <c r="J177" s="246">
        <f t="shared" si="24"/>
        <v>1</v>
      </c>
      <c r="K177" s="245">
        <v>0</v>
      </c>
    </row>
    <row r="178" spans="1:11" s="341" customFormat="1" ht="20.399999999999999" customHeight="1" x14ac:dyDescent="0.25">
      <c r="A178" s="38"/>
      <c r="B178" s="335"/>
      <c r="C178" s="335"/>
      <c r="D178" s="335"/>
      <c r="E178" s="335" t="s">
        <v>17</v>
      </c>
      <c r="F178" s="21" t="s">
        <v>18</v>
      </c>
      <c r="G178" s="160">
        <v>500000</v>
      </c>
      <c r="H178" s="175"/>
      <c r="I178" s="63">
        <v>0</v>
      </c>
      <c r="J178" s="246">
        <f t="shared" si="24"/>
        <v>0</v>
      </c>
      <c r="K178" s="13">
        <v>0</v>
      </c>
    </row>
    <row r="179" spans="1:11" ht="25.95" customHeight="1" x14ac:dyDescent="0.25">
      <c r="A179" s="38"/>
      <c r="B179" s="20"/>
      <c r="C179" s="416" t="s">
        <v>106</v>
      </c>
      <c r="D179" s="416"/>
      <c r="E179" s="27"/>
      <c r="F179" s="28" t="s">
        <v>107</v>
      </c>
      <c r="G179" s="161">
        <f>SUM(G180+G181+G183+G184+G185+G186+G187+G188)</f>
        <v>786274.84</v>
      </c>
      <c r="H179" s="161">
        <f t="shared" ref="H179:I179" si="25">SUM(H180+H181+H183+H184+H185+H186+H187+H188)</f>
        <v>517054.81999999995</v>
      </c>
      <c r="I179" s="161">
        <f t="shared" si="25"/>
        <v>426271.19</v>
      </c>
      <c r="J179" s="29">
        <f>I179/G179</f>
        <v>0.54214018853763657</v>
      </c>
      <c r="K179" s="14">
        <f>SUM(K180+K181+K183+K184+K185+K186+K187+K188)</f>
        <v>21413.21</v>
      </c>
    </row>
    <row r="180" spans="1:11" ht="21.75" customHeight="1" x14ac:dyDescent="0.25">
      <c r="A180" s="38"/>
      <c r="B180" s="98"/>
      <c r="C180" s="413"/>
      <c r="D180" s="413"/>
      <c r="E180" s="34" t="s">
        <v>62</v>
      </c>
      <c r="F180" s="35" t="s">
        <v>63</v>
      </c>
      <c r="G180" s="163">
        <v>39709.86</v>
      </c>
      <c r="H180" s="175" t="s">
        <v>232</v>
      </c>
      <c r="I180" s="36">
        <v>19048.75</v>
      </c>
      <c r="J180" s="37">
        <f>I180/G180</f>
        <v>0.47969824119248972</v>
      </c>
      <c r="K180" s="22">
        <v>919.97</v>
      </c>
    </row>
    <row r="181" spans="1:11" ht="17.100000000000001" customHeight="1" x14ac:dyDescent="0.25">
      <c r="A181" s="38"/>
      <c r="B181" s="98"/>
      <c r="C181" s="413"/>
      <c r="D181" s="413"/>
      <c r="E181" s="335" t="s">
        <v>9</v>
      </c>
      <c r="F181" s="21" t="s">
        <v>10</v>
      </c>
      <c r="G181" s="160">
        <v>104956.94</v>
      </c>
      <c r="H181" s="175" t="s">
        <v>233</v>
      </c>
      <c r="I181" s="22">
        <v>56808.78</v>
      </c>
      <c r="J181" s="23">
        <f>I181/G181</f>
        <v>0.541257967314977</v>
      </c>
      <c r="K181" s="22">
        <v>7493.19</v>
      </c>
    </row>
    <row r="182" spans="1:11" s="341" customFormat="1" ht="17.100000000000001" customHeight="1" x14ac:dyDescent="0.25">
      <c r="A182" s="38"/>
      <c r="B182" s="43" t="s">
        <v>199</v>
      </c>
      <c r="C182" s="43" t="s">
        <v>200</v>
      </c>
      <c r="D182" s="43"/>
      <c r="E182" s="43" t="s">
        <v>201</v>
      </c>
      <c r="F182" s="43" t="s">
        <v>202</v>
      </c>
      <c r="G182" s="57" t="s">
        <v>203</v>
      </c>
      <c r="H182" s="57"/>
      <c r="I182" s="44" t="s">
        <v>204</v>
      </c>
      <c r="J182" s="44" t="s">
        <v>205</v>
      </c>
      <c r="K182" s="44" t="s">
        <v>206</v>
      </c>
    </row>
    <row r="183" spans="1:11" ht="24" customHeight="1" x14ac:dyDescent="0.25">
      <c r="A183" s="38"/>
      <c r="B183" s="98"/>
      <c r="C183" s="413"/>
      <c r="D183" s="413"/>
      <c r="E183" s="335" t="s">
        <v>21</v>
      </c>
      <c r="F183" s="21" t="s">
        <v>371</v>
      </c>
      <c r="G183" s="160">
        <v>14852.66</v>
      </c>
      <c r="H183" s="175" t="s">
        <v>234</v>
      </c>
      <c r="I183" s="22">
        <v>4848.83</v>
      </c>
      <c r="J183" s="23">
        <f>I183/G183</f>
        <v>0.32646206134120082</v>
      </c>
      <c r="K183" s="22">
        <v>615.09</v>
      </c>
    </row>
    <row r="184" spans="1:11" ht="34.200000000000003" customHeight="1" x14ac:dyDescent="0.25">
      <c r="A184" s="38"/>
      <c r="B184" s="98"/>
      <c r="C184" s="413"/>
      <c r="D184" s="413"/>
      <c r="E184" s="98" t="s">
        <v>132</v>
      </c>
      <c r="F184" s="21" t="s">
        <v>133</v>
      </c>
      <c r="G184" s="160">
        <v>14600</v>
      </c>
      <c r="H184" s="175" t="s">
        <v>235</v>
      </c>
      <c r="I184" s="22">
        <v>5293.56</v>
      </c>
      <c r="J184" s="23">
        <f>I184/G184</f>
        <v>0.36257260273972608</v>
      </c>
      <c r="K184" s="22">
        <v>0</v>
      </c>
    </row>
    <row r="185" spans="1:11" ht="24.6" customHeight="1" x14ac:dyDescent="0.25">
      <c r="A185" s="38"/>
      <c r="B185" s="98"/>
      <c r="C185" s="413"/>
      <c r="D185" s="413"/>
      <c r="E185" s="335" t="s">
        <v>11</v>
      </c>
      <c r="F185" s="21" t="s">
        <v>12</v>
      </c>
      <c r="G185" s="160">
        <v>28941.66</v>
      </c>
      <c r="H185" s="175" t="s">
        <v>236</v>
      </c>
      <c r="I185" s="22">
        <v>21706.25</v>
      </c>
      <c r="J185" s="23">
        <f t="shared" ref="J185:J208" si="26">I185/G185</f>
        <v>0.75000017276134123</v>
      </c>
      <c r="K185" s="22">
        <v>0</v>
      </c>
    </row>
    <row r="186" spans="1:11" ht="24" customHeight="1" x14ac:dyDescent="0.25">
      <c r="A186" s="38"/>
      <c r="B186" s="98"/>
      <c r="C186" s="413"/>
      <c r="D186" s="413"/>
      <c r="E186" s="335" t="s">
        <v>373</v>
      </c>
      <c r="F186" s="21" t="s">
        <v>372</v>
      </c>
      <c r="G186" s="160">
        <v>660</v>
      </c>
      <c r="H186" s="179" t="s">
        <v>237</v>
      </c>
      <c r="I186" s="245">
        <v>0</v>
      </c>
      <c r="J186" s="246">
        <f t="shared" si="26"/>
        <v>0</v>
      </c>
      <c r="K186" s="245">
        <v>0</v>
      </c>
    </row>
    <row r="187" spans="1:11" s="278" customFormat="1" ht="16.2" customHeight="1" x14ac:dyDescent="0.25">
      <c r="A187" s="38"/>
      <c r="B187" s="268"/>
      <c r="C187" s="268"/>
      <c r="D187" s="268"/>
      <c r="E187" s="268" t="s">
        <v>405</v>
      </c>
      <c r="F187" s="21" t="s">
        <v>407</v>
      </c>
      <c r="G187" s="180">
        <v>536568.72</v>
      </c>
      <c r="H187" s="190"/>
      <c r="I187" s="245">
        <v>272580.02</v>
      </c>
      <c r="J187" s="140">
        <f t="shared" si="26"/>
        <v>0.50800579653618283</v>
      </c>
      <c r="K187" s="245">
        <v>12384.96</v>
      </c>
    </row>
    <row r="188" spans="1:11" s="341" customFormat="1" ht="24" customHeight="1" x14ac:dyDescent="0.25">
      <c r="A188" s="38"/>
      <c r="B188" s="335"/>
      <c r="C188" s="335"/>
      <c r="D188" s="335"/>
      <c r="E188" s="335" t="s">
        <v>406</v>
      </c>
      <c r="F188" s="21" t="s">
        <v>408</v>
      </c>
      <c r="G188" s="180">
        <v>45985</v>
      </c>
      <c r="H188" s="190"/>
      <c r="I188" s="13">
        <v>45985</v>
      </c>
      <c r="J188" s="246">
        <f t="shared" si="26"/>
        <v>1</v>
      </c>
      <c r="K188" s="13">
        <v>0</v>
      </c>
    </row>
    <row r="189" spans="1:11" ht="17.100000000000001" customHeight="1" x14ac:dyDescent="0.25">
      <c r="A189" s="38"/>
      <c r="B189" s="20"/>
      <c r="C189" s="416" t="s">
        <v>108</v>
      </c>
      <c r="D189" s="416"/>
      <c r="E189" s="142"/>
      <c r="F189" s="148" t="s">
        <v>109</v>
      </c>
      <c r="G189" s="186">
        <f>SUM(G190+G191+G192+G193+G194+G195+G197+G199+G200+G201+G202+G203+G204+G205+G206+G207+G198+G208+G196+G209+G210)</f>
        <v>1887499.9400000002</v>
      </c>
      <c r="H189" s="186">
        <f t="shared" ref="H189:I189" si="27">SUM(H190+H191+H192+H193+H194+H195+H197+H199+H200+H201+H202+H203+H204+H205+H206+H207+H198+H208+H196+H209+H210)</f>
        <v>1162469.78</v>
      </c>
      <c r="I189" s="186">
        <f t="shared" si="27"/>
        <v>987820.10999999987</v>
      </c>
      <c r="J189" s="29">
        <f t="shared" si="26"/>
        <v>0.52334841928524767</v>
      </c>
      <c r="K189" s="33">
        <f>SUM(K190+K191+K192+K193+K194+K195+K196+K197+K198+K199+K200+K201+K202+K203+K204+K205+K206+K207+K208+K209+K210)</f>
        <v>39231.96</v>
      </c>
    </row>
    <row r="190" spans="1:11" ht="21.75" customHeight="1" x14ac:dyDescent="0.25">
      <c r="A190" s="38"/>
      <c r="B190" s="20"/>
      <c r="C190" s="58"/>
      <c r="D190" s="147"/>
      <c r="E190" s="187" t="s">
        <v>352</v>
      </c>
      <c r="F190" s="146" t="s">
        <v>353</v>
      </c>
      <c r="G190" s="181">
        <v>225726</v>
      </c>
      <c r="H190" s="180"/>
      <c r="I190" s="56">
        <v>111666</v>
      </c>
      <c r="J190" s="23">
        <f>I190/G190</f>
        <v>0.49469711065628241</v>
      </c>
      <c r="K190" s="22">
        <v>0</v>
      </c>
    </row>
    <row r="191" spans="1:11" ht="22.2" customHeight="1" x14ac:dyDescent="0.25">
      <c r="A191" s="38"/>
      <c r="B191" s="98"/>
      <c r="C191" s="413"/>
      <c r="D191" s="428"/>
      <c r="E191" s="66" t="s">
        <v>62</v>
      </c>
      <c r="F191" s="45" t="s">
        <v>63</v>
      </c>
      <c r="G191" s="181">
        <v>40883.4</v>
      </c>
      <c r="H191" s="180" t="s">
        <v>286</v>
      </c>
      <c r="I191" s="56">
        <v>17130.009999999998</v>
      </c>
      <c r="J191" s="23">
        <f t="shared" si="26"/>
        <v>0.41899670771021974</v>
      </c>
      <c r="K191" s="22">
        <v>901.34</v>
      </c>
    </row>
    <row r="192" spans="1:11" ht="17.100000000000001" customHeight="1" x14ac:dyDescent="0.25">
      <c r="A192" s="38"/>
      <c r="B192" s="98"/>
      <c r="C192" s="413"/>
      <c r="D192" s="428"/>
      <c r="E192" s="66" t="s">
        <v>5</v>
      </c>
      <c r="F192" s="45" t="s">
        <v>6</v>
      </c>
      <c r="G192" s="181">
        <v>462183.88</v>
      </c>
      <c r="H192" s="182" t="s">
        <v>287</v>
      </c>
      <c r="I192" s="22">
        <v>224295.49</v>
      </c>
      <c r="J192" s="23">
        <f t="shared" si="26"/>
        <v>0.48529492201242497</v>
      </c>
      <c r="K192" s="22">
        <v>8533.02</v>
      </c>
    </row>
    <row r="193" spans="1:18" ht="17.100000000000001" customHeight="1" x14ac:dyDescent="0.25">
      <c r="A193" s="38"/>
      <c r="B193" s="98"/>
      <c r="C193" s="413"/>
      <c r="D193" s="413"/>
      <c r="E193" s="98" t="s">
        <v>7</v>
      </c>
      <c r="F193" s="134" t="s">
        <v>8</v>
      </c>
      <c r="G193" s="181">
        <v>31912.14</v>
      </c>
      <c r="H193" s="183" t="s">
        <v>288</v>
      </c>
      <c r="I193" s="22">
        <v>31912.14</v>
      </c>
      <c r="J193" s="23">
        <f t="shared" si="26"/>
        <v>1</v>
      </c>
      <c r="K193" s="22">
        <v>0</v>
      </c>
    </row>
    <row r="194" spans="1:18" ht="17.100000000000001" customHeight="1" x14ac:dyDescent="0.25">
      <c r="A194" s="38"/>
      <c r="B194" s="98"/>
      <c r="C194" s="413"/>
      <c r="D194" s="413"/>
      <c r="E194" s="98" t="s">
        <v>9</v>
      </c>
      <c r="F194" s="21" t="s">
        <v>10</v>
      </c>
      <c r="G194" s="160">
        <v>183540.28</v>
      </c>
      <c r="H194" s="162" t="s">
        <v>289</v>
      </c>
      <c r="I194" s="22">
        <v>90909.73</v>
      </c>
      <c r="J194" s="149">
        <f t="shared" si="26"/>
        <v>0.49531214619482983</v>
      </c>
      <c r="K194" s="22">
        <v>13236.23</v>
      </c>
    </row>
    <row r="195" spans="1:18" ht="23.4" customHeight="1" x14ac:dyDescent="0.25">
      <c r="A195" s="38"/>
      <c r="B195" s="98"/>
      <c r="C195" s="413"/>
      <c r="D195" s="413"/>
      <c r="E195" s="98" t="s">
        <v>21</v>
      </c>
      <c r="F195" s="21" t="s">
        <v>371</v>
      </c>
      <c r="G195" s="160">
        <v>25966.52</v>
      </c>
      <c r="H195" s="162" t="s">
        <v>290</v>
      </c>
      <c r="I195" s="22">
        <v>9427.2900000000009</v>
      </c>
      <c r="J195" s="23">
        <f t="shared" si="26"/>
        <v>0.36305558080174011</v>
      </c>
      <c r="K195" s="22">
        <v>1505.28</v>
      </c>
    </row>
    <row r="196" spans="1:18" s="278" customFormat="1" ht="15.6" customHeight="1" x14ac:dyDescent="0.25">
      <c r="A196" s="38"/>
      <c r="B196" s="268"/>
      <c r="C196" s="268"/>
      <c r="D196" s="268"/>
      <c r="E196" s="268" t="s">
        <v>22</v>
      </c>
      <c r="F196" s="45" t="s">
        <v>23</v>
      </c>
      <c r="G196" s="160">
        <v>4200</v>
      </c>
      <c r="H196" s="162"/>
      <c r="I196" s="245">
        <v>2100</v>
      </c>
      <c r="J196" s="246">
        <f t="shared" si="26"/>
        <v>0.5</v>
      </c>
      <c r="K196" s="245">
        <v>104</v>
      </c>
    </row>
    <row r="197" spans="1:18" ht="15" customHeight="1" x14ac:dyDescent="0.25">
      <c r="A197" s="38"/>
      <c r="B197" s="98"/>
      <c r="C197" s="413"/>
      <c r="D197" s="413"/>
      <c r="E197" s="98" t="s">
        <v>24</v>
      </c>
      <c r="F197" s="21" t="s">
        <v>25</v>
      </c>
      <c r="G197" s="160">
        <v>54300</v>
      </c>
      <c r="H197" s="162" t="s">
        <v>291</v>
      </c>
      <c r="I197" s="22">
        <v>32938.11</v>
      </c>
      <c r="J197" s="23">
        <f t="shared" si="26"/>
        <v>0.60659502762430939</v>
      </c>
      <c r="K197" s="22">
        <v>0</v>
      </c>
    </row>
    <row r="198" spans="1:18" s="278" customFormat="1" ht="15" customHeight="1" x14ac:dyDescent="0.25">
      <c r="A198" s="38"/>
      <c r="B198" s="268"/>
      <c r="C198" s="268"/>
      <c r="D198" s="268"/>
      <c r="E198" s="268" t="s">
        <v>110</v>
      </c>
      <c r="F198" s="21" t="s">
        <v>111</v>
      </c>
      <c r="G198" s="160">
        <v>163557</v>
      </c>
      <c r="H198" s="163" t="s">
        <v>292</v>
      </c>
      <c r="I198" s="245">
        <v>58751.3</v>
      </c>
      <c r="J198" s="246">
        <f t="shared" ref="J198" si="28">I198/G198</f>
        <v>0.35920993904265791</v>
      </c>
      <c r="K198" s="245">
        <v>2689.18</v>
      </c>
    </row>
    <row r="199" spans="1:18" ht="17.100000000000001" customHeight="1" x14ac:dyDescent="0.25">
      <c r="A199" s="38"/>
      <c r="B199" s="98"/>
      <c r="C199" s="413"/>
      <c r="D199" s="413"/>
      <c r="E199" s="98" t="s">
        <v>68</v>
      </c>
      <c r="F199" s="21" t="s">
        <v>69</v>
      </c>
      <c r="G199" s="160">
        <v>40000</v>
      </c>
      <c r="H199" s="162" t="s">
        <v>293</v>
      </c>
      <c r="I199" s="22">
        <v>19124.07</v>
      </c>
      <c r="J199" s="23">
        <f t="shared" si="26"/>
        <v>0.47810174999999999</v>
      </c>
      <c r="K199" s="22">
        <v>0</v>
      </c>
    </row>
    <row r="200" spans="1:18" ht="15" customHeight="1" x14ac:dyDescent="0.25">
      <c r="A200" s="38"/>
      <c r="B200" s="98"/>
      <c r="C200" s="413"/>
      <c r="D200" s="413"/>
      <c r="E200" s="98" t="s">
        <v>70</v>
      </c>
      <c r="F200" s="21" t="s">
        <v>71</v>
      </c>
      <c r="G200" s="160">
        <v>2000</v>
      </c>
      <c r="H200" s="162" t="s">
        <v>139</v>
      </c>
      <c r="I200" s="22">
        <v>210</v>
      </c>
      <c r="J200" s="23">
        <f t="shared" si="26"/>
        <v>0.105</v>
      </c>
      <c r="K200" s="22">
        <v>0</v>
      </c>
    </row>
    <row r="201" spans="1:18" s="267" customFormat="1" ht="15" customHeight="1" x14ac:dyDescent="0.25">
      <c r="A201" s="38"/>
      <c r="B201" s="266"/>
      <c r="C201" s="413"/>
      <c r="D201" s="413"/>
      <c r="E201" s="266" t="s">
        <v>26</v>
      </c>
      <c r="F201" s="21" t="s">
        <v>27</v>
      </c>
      <c r="G201" s="160">
        <v>36846</v>
      </c>
      <c r="H201" s="162" t="s">
        <v>294</v>
      </c>
      <c r="I201" s="245">
        <v>20571.7</v>
      </c>
      <c r="J201" s="246">
        <f t="shared" ref="J201" si="29">I201/G201</f>
        <v>0.55831569234109535</v>
      </c>
      <c r="K201" s="245">
        <v>0</v>
      </c>
    </row>
    <row r="202" spans="1:18" ht="34.5" customHeight="1" x14ac:dyDescent="0.25">
      <c r="A202" s="38"/>
      <c r="B202" s="98"/>
      <c r="C202" s="98"/>
      <c r="D202" s="98"/>
      <c r="E202" s="98" t="s">
        <v>132</v>
      </c>
      <c r="F202" s="21" t="s">
        <v>133</v>
      </c>
      <c r="G202" s="184">
        <v>25000</v>
      </c>
      <c r="H202" s="185" t="s">
        <v>189</v>
      </c>
      <c r="I202" s="22">
        <v>24656.45</v>
      </c>
      <c r="J202" s="23">
        <f t="shared" si="26"/>
        <v>0.98625800000000008</v>
      </c>
      <c r="K202" s="22">
        <v>0</v>
      </c>
    </row>
    <row r="203" spans="1:18" ht="26.25" customHeight="1" x14ac:dyDescent="0.25">
      <c r="A203" s="38"/>
      <c r="B203" s="98"/>
      <c r="C203" s="413"/>
      <c r="D203" s="413"/>
      <c r="E203" s="98" t="s">
        <v>72</v>
      </c>
      <c r="F203" s="9" t="s">
        <v>214</v>
      </c>
      <c r="G203" s="160">
        <v>3000</v>
      </c>
      <c r="H203" s="162" t="s">
        <v>295</v>
      </c>
      <c r="I203" s="22">
        <v>991.78</v>
      </c>
      <c r="J203" s="23">
        <f t="shared" si="26"/>
        <v>0.33059333333333335</v>
      </c>
      <c r="K203" s="22">
        <v>0</v>
      </c>
    </row>
    <row r="204" spans="1:18" ht="17.100000000000001" customHeight="1" x14ac:dyDescent="0.25">
      <c r="A204" s="38"/>
      <c r="B204" s="98"/>
      <c r="C204" s="413"/>
      <c r="D204" s="413"/>
      <c r="E204" s="98" t="s">
        <v>52</v>
      </c>
      <c r="F204" s="21" t="s">
        <v>53</v>
      </c>
      <c r="G204" s="160">
        <v>1500</v>
      </c>
      <c r="H204" s="162" t="s">
        <v>296</v>
      </c>
      <c r="I204" s="22">
        <v>0</v>
      </c>
      <c r="J204" s="23">
        <f t="shared" si="26"/>
        <v>0</v>
      </c>
      <c r="K204" s="22">
        <v>0</v>
      </c>
    </row>
    <row r="205" spans="1:18" ht="17.100000000000001" customHeight="1" x14ac:dyDescent="0.25">
      <c r="A205" s="38"/>
      <c r="B205" s="98"/>
      <c r="C205" s="413"/>
      <c r="D205" s="413"/>
      <c r="E205" s="98" t="s">
        <v>28</v>
      </c>
      <c r="F205" s="21" t="s">
        <v>29</v>
      </c>
      <c r="G205" s="160">
        <v>2154</v>
      </c>
      <c r="H205" s="162" t="s">
        <v>297</v>
      </c>
      <c r="I205" s="22">
        <v>2154</v>
      </c>
      <c r="J205" s="23">
        <f t="shared" si="26"/>
        <v>1</v>
      </c>
      <c r="K205" s="22">
        <v>0</v>
      </c>
    </row>
    <row r="206" spans="1:18" ht="26.25" customHeight="1" x14ac:dyDescent="0.25">
      <c r="A206" s="38"/>
      <c r="B206" s="98"/>
      <c r="C206" s="413"/>
      <c r="D206" s="413"/>
      <c r="E206" s="98" t="s">
        <v>11</v>
      </c>
      <c r="F206" s="21" t="s">
        <v>12</v>
      </c>
      <c r="G206" s="160">
        <v>75982.75</v>
      </c>
      <c r="H206" s="162" t="s">
        <v>298</v>
      </c>
      <c r="I206" s="22">
        <v>56987.06</v>
      </c>
      <c r="J206" s="23">
        <f t="shared" si="26"/>
        <v>0.74999996709779515</v>
      </c>
      <c r="K206" s="22">
        <v>0</v>
      </c>
    </row>
    <row r="207" spans="1:18" ht="16.95" customHeight="1" x14ac:dyDescent="0.25">
      <c r="A207" s="38"/>
      <c r="B207" s="98"/>
      <c r="C207" s="98"/>
      <c r="D207" s="98"/>
      <c r="E207" s="83" t="s">
        <v>273</v>
      </c>
      <c r="F207" s="84" t="s">
        <v>274</v>
      </c>
      <c r="G207" s="160">
        <v>300</v>
      </c>
      <c r="H207" s="162" t="s">
        <v>139</v>
      </c>
      <c r="I207" s="22">
        <v>0</v>
      </c>
      <c r="J207" s="23">
        <f t="shared" si="26"/>
        <v>0</v>
      </c>
      <c r="K207" s="245">
        <v>0</v>
      </c>
    </row>
    <row r="208" spans="1:18" s="278" customFormat="1" ht="21" customHeight="1" x14ac:dyDescent="0.25">
      <c r="A208" s="38"/>
      <c r="B208" s="268"/>
      <c r="C208" s="268"/>
      <c r="D208" s="268"/>
      <c r="E208" s="83" t="s">
        <v>373</v>
      </c>
      <c r="F208" s="21" t="s">
        <v>372</v>
      </c>
      <c r="G208" s="160">
        <v>150</v>
      </c>
      <c r="H208" s="162"/>
      <c r="I208" s="245">
        <v>0</v>
      </c>
      <c r="J208" s="246">
        <f t="shared" si="26"/>
        <v>0</v>
      </c>
      <c r="K208" s="245">
        <v>0</v>
      </c>
      <c r="L208" s="341"/>
      <c r="M208" s="341"/>
      <c r="N208" s="341"/>
      <c r="O208" s="341"/>
      <c r="P208" s="341"/>
      <c r="Q208" s="341"/>
      <c r="R208" s="341"/>
    </row>
    <row r="209" spans="1:11" s="341" customFormat="1" ht="18.600000000000001" customHeight="1" x14ac:dyDescent="0.25">
      <c r="A209" s="38"/>
      <c r="B209" s="335"/>
      <c r="C209" s="335"/>
      <c r="D209" s="335"/>
      <c r="E209" s="335" t="s">
        <v>405</v>
      </c>
      <c r="F209" s="21" t="s">
        <v>407</v>
      </c>
      <c r="G209" s="180">
        <v>468205.27</v>
      </c>
      <c r="H209" s="190"/>
      <c r="I209" s="245">
        <v>243902.28</v>
      </c>
      <c r="J209" s="140">
        <f t="shared" ref="J209:J210" si="30">I209/G209</f>
        <v>0.52093023216077849</v>
      </c>
      <c r="K209" s="245">
        <v>12262.91</v>
      </c>
    </row>
    <row r="210" spans="1:11" s="341" customFormat="1" ht="24" customHeight="1" x14ac:dyDescent="0.25">
      <c r="A210" s="38"/>
      <c r="B210" s="335"/>
      <c r="C210" s="335"/>
      <c r="D210" s="335"/>
      <c r="E210" s="335" t="s">
        <v>406</v>
      </c>
      <c r="F210" s="21" t="s">
        <v>408</v>
      </c>
      <c r="G210" s="180">
        <v>40092.699999999997</v>
      </c>
      <c r="H210" s="190"/>
      <c r="I210" s="13">
        <v>40092.699999999997</v>
      </c>
      <c r="J210" s="246">
        <f t="shared" si="30"/>
        <v>1</v>
      </c>
      <c r="K210" s="13">
        <v>0</v>
      </c>
    </row>
    <row r="211" spans="1:11" ht="14.4" customHeight="1" x14ac:dyDescent="0.25">
      <c r="A211" s="38"/>
      <c r="B211" s="20"/>
      <c r="C211" s="416" t="s">
        <v>112</v>
      </c>
      <c r="D211" s="416"/>
      <c r="E211" s="27"/>
      <c r="F211" s="28" t="s">
        <v>113</v>
      </c>
      <c r="G211" s="161">
        <f>SUM(G212+G213+G214+G215+G217+G219+G220+G221+G218)</f>
        <v>1185599.49</v>
      </c>
      <c r="H211" s="161" t="e">
        <f>SUM(H212+H213+H214+H215+H217+H219+H220+H221+#REF!+H218)</f>
        <v>#REF!</v>
      </c>
      <c r="I211" s="161">
        <f>SUM(I212+I213+I214+I215+I217+I219+I220+I221+I218)</f>
        <v>672525.54</v>
      </c>
      <c r="J211" s="29">
        <f t="shared" ref="J211:J256" si="31">I211/G211</f>
        <v>0.56724513267123622</v>
      </c>
      <c r="K211" s="309">
        <f>SUM(K212:K221)</f>
        <v>10651.02</v>
      </c>
    </row>
    <row r="212" spans="1:11" ht="17.100000000000001" customHeight="1" x14ac:dyDescent="0.25">
      <c r="A212" s="38"/>
      <c r="B212" s="98"/>
      <c r="C212" s="413"/>
      <c r="D212" s="413"/>
      <c r="E212" s="34" t="s">
        <v>5</v>
      </c>
      <c r="F212" s="35" t="s">
        <v>6</v>
      </c>
      <c r="G212" s="163">
        <v>325829.15999999997</v>
      </c>
      <c r="H212" s="162" t="s">
        <v>299</v>
      </c>
      <c r="I212" s="36">
        <v>160701.92000000001</v>
      </c>
      <c r="J212" s="37">
        <f t="shared" si="31"/>
        <v>0.49320914064290633</v>
      </c>
      <c r="K212" s="306">
        <v>0</v>
      </c>
    </row>
    <row r="213" spans="1:11" ht="17.100000000000001" customHeight="1" x14ac:dyDescent="0.25">
      <c r="A213" s="38"/>
      <c r="B213" s="98"/>
      <c r="C213" s="413"/>
      <c r="D213" s="413"/>
      <c r="E213" s="98" t="s">
        <v>7</v>
      </c>
      <c r="F213" s="21" t="s">
        <v>8</v>
      </c>
      <c r="G213" s="160">
        <v>22364.31</v>
      </c>
      <c r="H213" s="162" t="s">
        <v>258</v>
      </c>
      <c r="I213" s="22">
        <v>22364.31</v>
      </c>
      <c r="J213" s="23">
        <f t="shared" si="31"/>
        <v>1</v>
      </c>
      <c r="K213" s="307">
        <v>0</v>
      </c>
    </row>
    <row r="214" spans="1:11" ht="17.100000000000001" customHeight="1" x14ac:dyDescent="0.25">
      <c r="A214" s="38"/>
      <c r="B214" s="98"/>
      <c r="C214" s="413"/>
      <c r="D214" s="413"/>
      <c r="E214" s="98" t="s">
        <v>9</v>
      </c>
      <c r="F214" s="21" t="s">
        <v>10</v>
      </c>
      <c r="G214" s="160">
        <v>52051.88</v>
      </c>
      <c r="H214" s="162" t="s">
        <v>300</v>
      </c>
      <c r="I214" s="22">
        <v>28649.200000000001</v>
      </c>
      <c r="J214" s="23">
        <f t="shared" si="31"/>
        <v>0.55039702696617299</v>
      </c>
      <c r="K214" s="307">
        <v>0</v>
      </c>
    </row>
    <row r="215" spans="1:11" ht="27" customHeight="1" x14ac:dyDescent="0.25">
      <c r="A215" s="38"/>
      <c r="B215" s="98"/>
      <c r="C215" s="413"/>
      <c r="D215" s="413"/>
      <c r="E215" s="98" t="s">
        <v>21</v>
      </c>
      <c r="F215" s="21" t="s">
        <v>371</v>
      </c>
      <c r="G215" s="160">
        <v>8675.31</v>
      </c>
      <c r="H215" s="162" t="s">
        <v>144</v>
      </c>
      <c r="I215" s="22">
        <v>3120.77</v>
      </c>
      <c r="J215" s="23">
        <f t="shared" si="31"/>
        <v>0.35973008457334665</v>
      </c>
      <c r="K215" s="307">
        <v>0</v>
      </c>
    </row>
    <row r="216" spans="1:11" s="394" customFormat="1" ht="15" customHeight="1" x14ac:dyDescent="0.25">
      <c r="A216" s="38"/>
      <c r="B216" s="43" t="s">
        <v>199</v>
      </c>
      <c r="C216" s="43" t="s">
        <v>200</v>
      </c>
      <c r="D216" s="43"/>
      <c r="E216" s="43" t="s">
        <v>201</v>
      </c>
      <c r="F216" s="43" t="s">
        <v>202</v>
      </c>
      <c r="G216" s="57" t="s">
        <v>203</v>
      </c>
      <c r="H216" s="57"/>
      <c r="I216" s="44" t="s">
        <v>204</v>
      </c>
      <c r="J216" s="44" t="s">
        <v>205</v>
      </c>
      <c r="K216" s="44" t="s">
        <v>206</v>
      </c>
    </row>
    <row r="217" spans="1:11" ht="17.100000000000001" customHeight="1" x14ac:dyDescent="0.25">
      <c r="A217" s="38"/>
      <c r="B217" s="98"/>
      <c r="C217" s="413"/>
      <c r="D217" s="413"/>
      <c r="E217" s="98" t="s">
        <v>24</v>
      </c>
      <c r="F217" s="21" t="s">
        <v>25</v>
      </c>
      <c r="G217" s="160">
        <v>160000</v>
      </c>
      <c r="H217" s="162" t="s">
        <v>301</v>
      </c>
      <c r="I217" s="22">
        <v>61235.72</v>
      </c>
      <c r="J217" s="23">
        <f t="shared" si="31"/>
        <v>0.38272325000000001</v>
      </c>
      <c r="K217" s="307">
        <v>10651.02</v>
      </c>
    </row>
    <row r="218" spans="1:11" s="278" customFormat="1" ht="17.100000000000001" customHeight="1" x14ac:dyDescent="0.25">
      <c r="A218" s="38"/>
      <c r="B218" s="268"/>
      <c r="C218" s="268"/>
      <c r="D218" s="268"/>
      <c r="E218" s="268" t="s">
        <v>70</v>
      </c>
      <c r="F218" s="21" t="s">
        <v>71</v>
      </c>
      <c r="G218" s="160">
        <v>400</v>
      </c>
      <c r="H218" s="162"/>
      <c r="I218" s="245">
        <v>0</v>
      </c>
      <c r="J218" s="246">
        <f t="shared" si="31"/>
        <v>0</v>
      </c>
      <c r="K218" s="307">
        <v>0</v>
      </c>
    </row>
    <row r="219" spans="1:11" ht="17.100000000000001" customHeight="1" x14ac:dyDescent="0.25">
      <c r="A219" s="38"/>
      <c r="B219" s="98"/>
      <c r="C219" s="413"/>
      <c r="D219" s="413"/>
      <c r="E219" s="98" t="s">
        <v>26</v>
      </c>
      <c r="F219" s="21" t="s">
        <v>27</v>
      </c>
      <c r="G219" s="160">
        <v>596301.01</v>
      </c>
      <c r="H219" s="162" t="s">
        <v>302</v>
      </c>
      <c r="I219" s="22">
        <v>384721.03</v>
      </c>
      <c r="J219" s="23">
        <f t="shared" si="31"/>
        <v>0.64517923590302162</v>
      </c>
      <c r="K219" s="22">
        <v>0</v>
      </c>
    </row>
    <row r="220" spans="1:11" ht="17.100000000000001" customHeight="1" x14ac:dyDescent="0.25">
      <c r="A220" s="38"/>
      <c r="B220" s="98"/>
      <c r="C220" s="413"/>
      <c r="D220" s="413"/>
      <c r="E220" s="98" t="s">
        <v>28</v>
      </c>
      <c r="F220" s="21" t="s">
        <v>29</v>
      </c>
      <c r="G220" s="160">
        <v>8337.0300000000007</v>
      </c>
      <c r="H220" s="162" t="s">
        <v>114</v>
      </c>
      <c r="I220" s="22">
        <v>3002</v>
      </c>
      <c r="J220" s="23">
        <f t="shared" si="31"/>
        <v>0.36008026839294088</v>
      </c>
      <c r="K220" s="22">
        <v>0</v>
      </c>
    </row>
    <row r="221" spans="1:11" ht="23.25" customHeight="1" x14ac:dyDescent="0.25">
      <c r="A221" s="38"/>
      <c r="B221" s="98"/>
      <c r="C221" s="98"/>
      <c r="D221" s="98"/>
      <c r="E221" s="98" t="s">
        <v>11</v>
      </c>
      <c r="F221" s="21" t="s">
        <v>12</v>
      </c>
      <c r="G221" s="160">
        <v>11640.79</v>
      </c>
      <c r="H221" s="162" t="s">
        <v>272</v>
      </c>
      <c r="I221" s="22">
        <v>8730.59</v>
      </c>
      <c r="J221" s="23">
        <f t="shared" si="31"/>
        <v>0.74999978523794342</v>
      </c>
      <c r="K221" s="22">
        <v>0</v>
      </c>
    </row>
    <row r="222" spans="1:11" ht="15.6" customHeight="1" x14ac:dyDescent="0.25">
      <c r="A222" s="38"/>
      <c r="B222" s="20"/>
      <c r="C222" s="416" t="s">
        <v>115</v>
      </c>
      <c r="D222" s="416"/>
      <c r="E222" s="27"/>
      <c r="F222" s="28" t="s">
        <v>116</v>
      </c>
      <c r="G222" s="161">
        <f>SUM(G223+G224+G225)</f>
        <v>71000</v>
      </c>
      <c r="H222" s="162" t="s">
        <v>303</v>
      </c>
      <c r="I222" s="33">
        <f>SUM(I223+I224+I225)</f>
        <v>11907.82</v>
      </c>
      <c r="J222" s="29">
        <f t="shared" si="31"/>
        <v>0.16771577464788731</v>
      </c>
      <c r="K222" s="33">
        <f>SUM(K223:K225)</f>
        <v>445</v>
      </c>
    </row>
    <row r="223" spans="1:11" ht="17.100000000000001" customHeight="1" x14ac:dyDescent="0.25">
      <c r="A223" s="38"/>
      <c r="B223" s="98"/>
      <c r="C223" s="413"/>
      <c r="D223" s="413"/>
      <c r="E223" s="98" t="s">
        <v>26</v>
      </c>
      <c r="F223" s="21" t="s">
        <v>27</v>
      </c>
      <c r="G223" s="160">
        <v>23000</v>
      </c>
      <c r="H223" s="162" t="s">
        <v>304</v>
      </c>
      <c r="I223" s="22">
        <v>1608.84</v>
      </c>
      <c r="J223" s="23">
        <f t="shared" si="31"/>
        <v>6.9949565217391305E-2</v>
      </c>
      <c r="K223" s="22">
        <v>0</v>
      </c>
    </row>
    <row r="224" spans="1:11" ht="17.100000000000001" customHeight="1" x14ac:dyDescent="0.25">
      <c r="A224" s="38"/>
      <c r="B224" s="98"/>
      <c r="C224" s="413"/>
      <c r="D224" s="413"/>
      <c r="E224" s="98" t="s">
        <v>52</v>
      </c>
      <c r="F224" s="21" t="s">
        <v>53</v>
      </c>
      <c r="G224" s="160">
        <v>3000</v>
      </c>
      <c r="H224" s="162" t="s">
        <v>305</v>
      </c>
      <c r="I224" s="188">
        <v>75.98</v>
      </c>
      <c r="J224" s="23">
        <f t="shared" si="31"/>
        <v>2.5326666666666667E-2</v>
      </c>
      <c r="K224" s="22">
        <v>0</v>
      </c>
    </row>
    <row r="225" spans="1:22" ht="22.2" customHeight="1" x14ac:dyDescent="0.25">
      <c r="A225" s="38"/>
      <c r="B225" s="98"/>
      <c r="C225" s="98"/>
      <c r="D225" s="98"/>
      <c r="E225" s="81" t="s">
        <v>54</v>
      </c>
      <c r="F225" s="82" t="s">
        <v>55</v>
      </c>
      <c r="G225" s="164">
        <v>45000</v>
      </c>
      <c r="H225" s="162" t="s">
        <v>251</v>
      </c>
      <c r="I225" s="13">
        <v>10223</v>
      </c>
      <c r="J225" s="23">
        <f t="shared" si="31"/>
        <v>0.22717777777777778</v>
      </c>
      <c r="K225" s="13">
        <v>445</v>
      </c>
    </row>
    <row r="226" spans="1:22" ht="15.6" customHeight="1" x14ac:dyDescent="0.25">
      <c r="A226" s="38"/>
      <c r="B226" s="20"/>
      <c r="C226" s="416" t="s">
        <v>117</v>
      </c>
      <c r="D226" s="416"/>
      <c r="E226" s="27"/>
      <c r="F226" s="28" t="s">
        <v>118</v>
      </c>
      <c r="G226" s="161">
        <f>SUM(G227+G228+G229+G230+G232+G233+G234+G235+G231+G236)</f>
        <v>527480.04</v>
      </c>
      <c r="H226" s="161">
        <f t="shared" ref="H226:I226" si="32">SUM(H227+H228+H229+H230+H232+H233+H234+H235+H231+H236)</f>
        <v>339044.01</v>
      </c>
      <c r="I226" s="161">
        <f t="shared" si="32"/>
        <v>164858.04999999999</v>
      </c>
      <c r="J226" s="29">
        <f t="shared" si="31"/>
        <v>0.31253893512254982</v>
      </c>
      <c r="K226" s="33">
        <f>SUM(K227:K233)</f>
        <v>6074.26</v>
      </c>
    </row>
    <row r="227" spans="1:22" ht="17.100000000000001" customHeight="1" x14ac:dyDescent="0.25">
      <c r="A227" s="38"/>
      <c r="B227" s="98"/>
      <c r="C227" s="413"/>
      <c r="D227" s="413"/>
      <c r="E227" s="98" t="s">
        <v>5</v>
      </c>
      <c r="F227" s="21" t="s">
        <v>6</v>
      </c>
      <c r="G227" s="163">
        <v>151855.51999999999</v>
      </c>
      <c r="H227" s="162" t="s">
        <v>306</v>
      </c>
      <c r="I227" s="22">
        <v>61724.56</v>
      </c>
      <c r="J227" s="23">
        <f t="shared" si="31"/>
        <v>0.4064689910514942</v>
      </c>
      <c r="K227" s="22">
        <v>3370.16</v>
      </c>
    </row>
    <row r="228" spans="1:22" ht="17.100000000000001" customHeight="1" x14ac:dyDescent="0.25">
      <c r="A228" s="38"/>
      <c r="B228" s="98"/>
      <c r="C228" s="413"/>
      <c r="D228" s="413"/>
      <c r="E228" s="98" t="s">
        <v>7</v>
      </c>
      <c r="F228" s="21" t="s">
        <v>8</v>
      </c>
      <c r="G228" s="160">
        <v>9637.26</v>
      </c>
      <c r="H228" s="162" t="s">
        <v>307</v>
      </c>
      <c r="I228" s="22">
        <v>9637.26</v>
      </c>
      <c r="J228" s="23">
        <f t="shared" si="31"/>
        <v>1</v>
      </c>
      <c r="K228" s="22">
        <v>0</v>
      </c>
    </row>
    <row r="229" spans="1:22" ht="17.100000000000001" customHeight="1" x14ac:dyDescent="0.25">
      <c r="A229" s="38"/>
      <c r="B229" s="98"/>
      <c r="C229" s="413"/>
      <c r="D229" s="413"/>
      <c r="E229" s="98" t="s">
        <v>9</v>
      </c>
      <c r="F229" s="21" t="s">
        <v>10</v>
      </c>
      <c r="G229" s="160">
        <v>25833.31</v>
      </c>
      <c r="H229" s="162" t="s">
        <v>308</v>
      </c>
      <c r="I229" s="22">
        <v>11064.67</v>
      </c>
      <c r="J229" s="23">
        <f t="shared" si="31"/>
        <v>0.42831019331243264</v>
      </c>
      <c r="K229" s="22">
        <v>2226.11</v>
      </c>
    </row>
    <row r="230" spans="1:22" ht="24.6" customHeight="1" x14ac:dyDescent="0.25">
      <c r="A230" s="38"/>
      <c r="B230" s="98"/>
      <c r="C230" s="413"/>
      <c r="D230" s="413"/>
      <c r="E230" s="98" t="s">
        <v>21</v>
      </c>
      <c r="F230" s="21" t="s">
        <v>371</v>
      </c>
      <c r="G230" s="160">
        <v>3681.88</v>
      </c>
      <c r="H230" s="162" t="s">
        <v>309</v>
      </c>
      <c r="I230" s="22">
        <v>294.70999999999998</v>
      </c>
      <c r="J230" s="23">
        <f t="shared" si="31"/>
        <v>8.0043347420339597E-2</v>
      </c>
      <c r="K230" s="22">
        <v>95.87</v>
      </c>
    </row>
    <row r="231" spans="1:22" s="341" customFormat="1" ht="16.8" customHeight="1" x14ac:dyDescent="0.25">
      <c r="A231" s="38"/>
      <c r="B231" s="65"/>
      <c r="C231" s="65"/>
      <c r="D231" s="42"/>
      <c r="E231" s="335" t="s">
        <v>24</v>
      </c>
      <c r="F231" s="21" t="s">
        <v>25</v>
      </c>
      <c r="G231" s="160">
        <v>105000</v>
      </c>
      <c r="H231" s="162"/>
      <c r="I231" s="245">
        <v>0</v>
      </c>
      <c r="J231" s="246">
        <f t="shared" si="31"/>
        <v>0</v>
      </c>
      <c r="K231" s="245">
        <v>0</v>
      </c>
    </row>
    <row r="232" spans="1:22" ht="15" customHeight="1" x14ac:dyDescent="0.25">
      <c r="A232" s="38"/>
      <c r="B232" s="66"/>
      <c r="C232" s="65"/>
      <c r="D232" s="42"/>
      <c r="E232" s="98" t="s">
        <v>110</v>
      </c>
      <c r="F232" s="21" t="s">
        <v>111</v>
      </c>
      <c r="G232" s="160">
        <v>180406</v>
      </c>
      <c r="H232" s="162" t="s">
        <v>310</v>
      </c>
      <c r="I232" s="22">
        <v>78187.3</v>
      </c>
      <c r="J232" s="23">
        <f t="shared" si="31"/>
        <v>0.43339633936787025</v>
      </c>
      <c r="K232" s="22">
        <v>382.12</v>
      </c>
    </row>
    <row r="233" spans="1:22" ht="27.75" customHeight="1" x14ac:dyDescent="0.25">
      <c r="A233" s="38"/>
      <c r="B233" s="66"/>
      <c r="C233" s="65"/>
      <c r="D233" s="42"/>
      <c r="E233" s="98" t="s">
        <v>11</v>
      </c>
      <c r="F233" s="21" t="s">
        <v>12</v>
      </c>
      <c r="G233" s="160">
        <v>5266.07</v>
      </c>
      <c r="H233" s="162" t="s">
        <v>311</v>
      </c>
      <c r="I233" s="22">
        <v>3949.55</v>
      </c>
      <c r="J233" s="23">
        <f t="shared" si="31"/>
        <v>0.74999952526267222</v>
      </c>
      <c r="K233" s="22">
        <v>0</v>
      </c>
    </row>
    <row r="234" spans="1:22" ht="12.6" customHeight="1" x14ac:dyDescent="0.25">
      <c r="A234" s="38"/>
      <c r="B234" s="66"/>
      <c r="C234" s="65"/>
      <c r="D234" s="42"/>
      <c r="E234" s="83" t="s">
        <v>273</v>
      </c>
      <c r="F234" s="84" t="s">
        <v>274</v>
      </c>
      <c r="G234" s="160">
        <v>500</v>
      </c>
      <c r="H234" s="162" t="s">
        <v>312</v>
      </c>
      <c r="I234" s="280">
        <v>0</v>
      </c>
      <c r="J234" s="246">
        <f t="shared" si="31"/>
        <v>0</v>
      </c>
      <c r="K234" s="22">
        <v>0</v>
      </c>
      <c r="S234" s="278"/>
    </row>
    <row r="235" spans="1:22" s="278" customFormat="1" ht="25.2" customHeight="1" x14ac:dyDescent="0.25">
      <c r="A235" s="38"/>
      <c r="B235" s="247"/>
      <c r="C235" s="65"/>
      <c r="D235" s="42"/>
      <c r="E235" s="83" t="s">
        <v>373</v>
      </c>
      <c r="F235" s="21" t="s">
        <v>372</v>
      </c>
      <c r="G235" s="160">
        <v>300</v>
      </c>
      <c r="H235" s="251"/>
      <c r="I235" s="245">
        <v>0</v>
      </c>
      <c r="J235" s="246">
        <f t="shared" si="31"/>
        <v>0</v>
      </c>
      <c r="K235" s="245">
        <v>0</v>
      </c>
      <c r="R235" s="301"/>
      <c r="S235" s="341"/>
      <c r="T235" s="341"/>
      <c r="U235" s="341"/>
      <c r="V235" s="341"/>
    </row>
    <row r="236" spans="1:22" s="341" customFormat="1" ht="25.2" customHeight="1" x14ac:dyDescent="0.25">
      <c r="A236" s="38"/>
      <c r="B236" s="388"/>
      <c r="C236" s="388"/>
      <c r="D236" s="388"/>
      <c r="E236" s="389" t="s">
        <v>391</v>
      </c>
      <c r="F236" s="381" t="s">
        <v>400</v>
      </c>
      <c r="G236" s="390">
        <v>45000</v>
      </c>
      <c r="H236" s="390"/>
      <c r="I236" s="13">
        <v>0</v>
      </c>
      <c r="J236" s="26">
        <f t="shared" si="31"/>
        <v>0</v>
      </c>
      <c r="K236" s="13">
        <v>0</v>
      </c>
    </row>
    <row r="237" spans="1:22" ht="67.95" customHeight="1" x14ac:dyDescent="0.25">
      <c r="A237" s="38"/>
      <c r="B237" s="20"/>
      <c r="C237" s="416" t="s">
        <v>253</v>
      </c>
      <c r="D237" s="416"/>
      <c r="E237" s="27"/>
      <c r="F237" s="28" t="s">
        <v>252</v>
      </c>
      <c r="G237" s="417">
        <f>SUM(G238+G239+G241+G242+G243+G244+G245+G246+G240)</f>
        <v>233584.66999999998</v>
      </c>
      <c r="H237" s="418"/>
      <c r="I237" s="33">
        <f>SUM(I238+I239+I241+I242+I243+I244+I245+I246+I240)</f>
        <v>124643.22</v>
      </c>
      <c r="J237" s="29">
        <f t="shared" si="31"/>
        <v>0.53361044626772813</v>
      </c>
      <c r="K237" s="33">
        <f>SUM(K238:K246)</f>
        <v>4388.4399999999996</v>
      </c>
    </row>
    <row r="238" spans="1:22" ht="23.4" customHeight="1" x14ac:dyDescent="0.25">
      <c r="A238" s="38"/>
      <c r="B238" s="20"/>
      <c r="C238" s="58"/>
      <c r="D238" s="58"/>
      <c r="E238" s="74" t="s">
        <v>62</v>
      </c>
      <c r="F238" s="70" t="s">
        <v>63</v>
      </c>
      <c r="G238" s="169">
        <v>10494.1</v>
      </c>
      <c r="H238" s="173"/>
      <c r="I238" s="22">
        <v>5108.88</v>
      </c>
      <c r="J238" s="23">
        <f t="shared" si="31"/>
        <v>0.4868335540922995</v>
      </c>
      <c r="K238" s="22">
        <v>114.08</v>
      </c>
    </row>
    <row r="239" spans="1:22" ht="16.2" customHeight="1" x14ac:dyDescent="0.25">
      <c r="A239" s="38"/>
      <c r="B239" s="255"/>
      <c r="C239" s="413"/>
      <c r="D239" s="413"/>
      <c r="E239" s="255" t="s">
        <v>5</v>
      </c>
      <c r="F239" s="21" t="s">
        <v>6</v>
      </c>
      <c r="G239" s="160">
        <v>36481.199999999997</v>
      </c>
      <c r="H239" s="175" t="s">
        <v>239</v>
      </c>
      <c r="I239" s="245">
        <v>17951.22</v>
      </c>
      <c r="J239" s="246">
        <f t="shared" ref="J239:J240" si="33">I239/G239</f>
        <v>0.49206769514160725</v>
      </c>
      <c r="K239" s="245">
        <v>646.44000000000005</v>
      </c>
    </row>
    <row r="240" spans="1:22" s="341" customFormat="1" ht="16.2" customHeight="1" x14ac:dyDescent="0.25">
      <c r="A240" s="38"/>
      <c r="B240" s="335"/>
      <c r="C240" s="335"/>
      <c r="D240" s="335"/>
      <c r="E240" s="335" t="s">
        <v>7</v>
      </c>
      <c r="F240" s="21" t="s">
        <v>8</v>
      </c>
      <c r="G240" s="160">
        <v>3441.83</v>
      </c>
      <c r="H240" s="162" t="s">
        <v>307</v>
      </c>
      <c r="I240" s="245">
        <v>3441.83</v>
      </c>
      <c r="J240" s="246">
        <f t="shared" si="33"/>
        <v>1</v>
      </c>
      <c r="K240" s="245">
        <v>0</v>
      </c>
    </row>
    <row r="241" spans="1:20" s="267" customFormat="1" ht="17.399999999999999" customHeight="1" x14ac:dyDescent="0.25">
      <c r="A241" s="38"/>
      <c r="B241" s="266"/>
      <c r="C241" s="266"/>
      <c r="D241" s="266"/>
      <c r="E241" s="266" t="s">
        <v>9</v>
      </c>
      <c r="F241" s="21" t="s">
        <v>10</v>
      </c>
      <c r="G241" s="189">
        <v>32230.89</v>
      </c>
      <c r="H241" s="175"/>
      <c r="I241" s="245">
        <v>16834.43</v>
      </c>
      <c r="J241" s="246">
        <f>SUM(I241/G241)</f>
        <v>0.52230732691526671</v>
      </c>
      <c r="K241" s="245">
        <v>1755.75</v>
      </c>
    </row>
    <row r="242" spans="1:20" ht="26.4" customHeight="1" x14ac:dyDescent="0.25">
      <c r="A242" s="38"/>
      <c r="B242" s="98"/>
      <c r="C242" s="98"/>
      <c r="D242" s="98"/>
      <c r="E242" s="98" t="s">
        <v>21</v>
      </c>
      <c r="F242" s="134" t="s">
        <v>371</v>
      </c>
      <c r="G242" s="218">
        <v>4596.3599999999997</v>
      </c>
      <c r="H242" s="175"/>
      <c r="I242" s="22">
        <v>1970.97</v>
      </c>
      <c r="J242" s="23">
        <f>SUM(I242/G242)</f>
        <v>0.42881105918596457</v>
      </c>
      <c r="K242" s="22">
        <v>217.62</v>
      </c>
      <c r="T242" s="278"/>
    </row>
    <row r="243" spans="1:20" ht="23.4" customHeight="1" x14ac:dyDescent="0.25">
      <c r="A243" s="38"/>
      <c r="B243" s="154"/>
      <c r="C243" s="129"/>
      <c r="D243" s="129"/>
      <c r="E243" s="335" t="s">
        <v>11</v>
      </c>
      <c r="F243" s="21" t="s">
        <v>12</v>
      </c>
      <c r="G243" s="392">
        <v>6587.07</v>
      </c>
      <c r="H243" s="190"/>
      <c r="I243" s="245">
        <v>4940.3100000000004</v>
      </c>
      <c r="J243" s="246">
        <f t="shared" ref="J243:J244" si="34">I243/G243</f>
        <v>0.75000113859424611</v>
      </c>
      <c r="K243" s="245">
        <v>0</v>
      </c>
      <c r="L243" s="341"/>
      <c r="M243" s="341"/>
      <c r="N243" s="341"/>
      <c r="O243" s="341"/>
      <c r="P243" s="341"/>
      <c r="Q243" s="341"/>
    </row>
    <row r="244" spans="1:20" ht="26.4" customHeight="1" x14ac:dyDescent="0.25">
      <c r="A244" s="38"/>
      <c r="B244" s="154"/>
      <c r="C244" s="129"/>
      <c r="D244" s="129"/>
      <c r="E244" s="335" t="s">
        <v>373</v>
      </c>
      <c r="F244" s="21" t="s">
        <v>372</v>
      </c>
      <c r="G244" s="218">
        <v>130</v>
      </c>
      <c r="H244" s="190"/>
      <c r="I244" s="245">
        <v>0</v>
      </c>
      <c r="J244" s="246">
        <f t="shared" si="34"/>
        <v>0</v>
      </c>
      <c r="K244" s="245">
        <v>0</v>
      </c>
      <c r="L244" s="341"/>
      <c r="M244" s="341"/>
      <c r="N244" s="341"/>
      <c r="O244" s="341"/>
      <c r="P244" s="341"/>
      <c r="Q244" s="341"/>
    </row>
    <row r="245" spans="1:20" s="278" customFormat="1" ht="16.8" customHeight="1" x14ac:dyDescent="0.25">
      <c r="A245" s="38"/>
      <c r="B245" s="65"/>
      <c r="C245" s="268"/>
      <c r="D245" s="268"/>
      <c r="E245" s="268" t="s">
        <v>405</v>
      </c>
      <c r="F245" s="21" t="s">
        <v>407</v>
      </c>
      <c r="G245" s="392">
        <v>136455.71</v>
      </c>
      <c r="H245" s="190"/>
      <c r="I245" s="245">
        <v>71228.070000000007</v>
      </c>
      <c r="J245" s="246">
        <f t="shared" ref="J245:J246" si="35">I245/G245</f>
        <v>0.52198673107926385</v>
      </c>
      <c r="K245" s="245">
        <v>1654.55</v>
      </c>
    </row>
    <row r="246" spans="1:20" s="278" customFormat="1" ht="23.4" customHeight="1" x14ac:dyDescent="0.25">
      <c r="A246" s="38"/>
      <c r="B246" s="65"/>
      <c r="C246" s="268"/>
      <c r="D246" s="268"/>
      <c r="E246" s="268" t="s">
        <v>406</v>
      </c>
      <c r="F246" s="21" t="s">
        <v>408</v>
      </c>
      <c r="G246" s="391">
        <v>3167.51</v>
      </c>
      <c r="H246" s="190"/>
      <c r="I246" s="245">
        <v>3167.51</v>
      </c>
      <c r="J246" s="246">
        <f t="shared" si="35"/>
        <v>1</v>
      </c>
      <c r="K246" s="245">
        <v>0</v>
      </c>
    </row>
    <row r="247" spans="1:20" ht="46.2" customHeight="1" x14ac:dyDescent="0.25">
      <c r="A247" s="38"/>
      <c r="B247" s="65"/>
      <c r="C247" s="416" t="s">
        <v>238</v>
      </c>
      <c r="D247" s="416"/>
      <c r="E247" s="27"/>
      <c r="F247" s="72" t="s">
        <v>340</v>
      </c>
      <c r="G247" s="177">
        <f>SUM(G249+G250+G251+G252+G253+G254+G255+G256)</f>
        <v>1296149.3299999998</v>
      </c>
      <c r="H247" s="177" t="e">
        <f>SUM(H249+H250+H251+H252+H253+H254+H255+H256+#REF!)</f>
        <v>#REF!</v>
      </c>
      <c r="I247" s="177">
        <f>SUM(I249+I250+I251+I252+I253+I254+I255+I256)</f>
        <v>712787.91</v>
      </c>
      <c r="J247" s="29">
        <f t="shared" si="31"/>
        <v>0.54992730660131584</v>
      </c>
      <c r="K247" s="33">
        <f>K249+K250+K251+K252+K253+K254+K255</f>
        <v>24020.3</v>
      </c>
    </row>
    <row r="248" spans="1:20" s="341" customFormat="1" ht="22.2" customHeight="1" x14ac:dyDescent="0.25">
      <c r="A248" s="38"/>
      <c r="B248" s="43" t="s">
        <v>199</v>
      </c>
      <c r="C248" s="43" t="s">
        <v>200</v>
      </c>
      <c r="D248" s="43"/>
      <c r="E248" s="43" t="s">
        <v>201</v>
      </c>
      <c r="F248" s="43" t="s">
        <v>202</v>
      </c>
      <c r="G248" s="57" t="s">
        <v>203</v>
      </c>
      <c r="H248" s="57"/>
      <c r="I248" s="44" t="s">
        <v>204</v>
      </c>
      <c r="J248" s="44" t="s">
        <v>205</v>
      </c>
      <c r="K248" s="44" t="s">
        <v>206</v>
      </c>
    </row>
    <row r="249" spans="1:20" ht="22.2" customHeight="1" x14ac:dyDescent="0.25">
      <c r="A249" s="38"/>
      <c r="B249" s="66"/>
      <c r="C249" s="119"/>
      <c r="D249" s="108"/>
      <c r="E249" s="74" t="s">
        <v>62</v>
      </c>
      <c r="F249" s="70" t="s">
        <v>63</v>
      </c>
      <c r="G249" s="190">
        <v>63844.71</v>
      </c>
      <c r="H249" s="190"/>
      <c r="I249" s="22">
        <v>32477.07</v>
      </c>
      <c r="J249" s="23">
        <f>I249/G249</f>
        <v>0.50868850371471652</v>
      </c>
      <c r="K249" s="22">
        <v>860.03</v>
      </c>
    </row>
    <row r="250" spans="1:20" ht="15.75" customHeight="1" x14ac:dyDescent="0.25">
      <c r="A250" s="38"/>
      <c r="B250" s="66"/>
      <c r="C250" s="65"/>
      <c r="D250" s="42"/>
      <c r="E250" s="98" t="s">
        <v>5</v>
      </c>
      <c r="F250" s="21" t="s">
        <v>6</v>
      </c>
      <c r="G250" s="190">
        <v>21469.25</v>
      </c>
      <c r="H250" s="190"/>
      <c r="I250" s="22">
        <v>9966.36</v>
      </c>
      <c r="J250" s="23">
        <f t="shared" si="31"/>
        <v>0.46421556412077741</v>
      </c>
      <c r="K250" s="22">
        <v>307.95</v>
      </c>
    </row>
    <row r="251" spans="1:20" ht="16.2" customHeight="1" x14ac:dyDescent="0.25">
      <c r="A251" s="38"/>
      <c r="B251" s="110"/>
      <c r="C251" s="120"/>
      <c r="D251" s="109"/>
      <c r="E251" s="335" t="s">
        <v>9</v>
      </c>
      <c r="F251" s="21" t="s">
        <v>10</v>
      </c>
      <c r="G251" s="191">
        <v>183960.03</v>
      </c>
      <c r="H251" s="192"/>
      <c r="I251" s="193">
        <v>98869.68</v>
      </c>
      <c r="J251" s="118">
        <f>I251/G251</f>
        <v>0.53745196714742871</v>
      </c>
      <c r="K251" s="22">
        <v>8758.64</v>
      </c>
    </row>
    <row r="252" spans="1:20" ht="20.399999999999999" customHeight="1" x14ac:dyDescent="0.25">
      <c r="A252" s="38"/>
      <c r="B252" s="66"/>
      <c r="C252" s="65"/>
      <c r="D252" s="42"/>
      <c r="E252" s="335" t="s">
        <v>21</v>
      </c>
      <c r="F252" s="21" t="s">
        <v>371</v>
      </c>
      <c r="G252" s="190">
        <v>25011.74</v>
      </c>
      <c r="H252" s="190"/>
      <c r="I252" s="22">
        <v>9011.91</v>
      </c>
      <c r="J252" s="23">
        <f t="shared" si="31"/>
        <v>0.36030719973900255</v>
      </c>
      <c r="K252" s="22">
        <v>787.26</v>
      </c>
    </row>
    <row r="253" spans="1:20" ht="25.8" customHeight="1" x14ac:dyDescent="0.25">
      <c r="A253" s="38"/>
      <c r="B253" s="65"/>
      <c r="C253" s="65"/>
      <c r="D253" s="42"/>
      <c r="E253" s="342" t="s">
        <v>11</v>
      </c>
      <c r="F253" s="21" t="s">
        <v>12</v>
      </c>
      <c r="G253" s="190">
        <v>18366.72</v>
      </c>
      <c r="H253" s="190"/>
      <c r="I253" s="22">
        <v>13775.04</v>
      </c>
      <c r="J253" s="23">
        <f t="shared" si="31"/>
        <v>0.75</v>
      </c>
      <c r="K253" s="22">
        <v>0</v>
      </c>
    </row>
    <row r="254" spans="1:20" ht="26.4" customHeight="1" x14ac:dyDescent="0.25">
      <c r="A254" s="38"/>
      <c r="B254" s="66"/>
      <c r="C254" s="66"/>
      <c r="D254" s="42"/>
      <c r="E254" s="335" t="s">
        <v>373</v>
      </c>
      <c r="F254" s="21" t="s">
        <v>372</v>
      </c>
      <c r="G254" s="190">
        <v>175</v>
      </c>
      <c r="H254" s="190"/>
      <c r="I254" s="22">
        <v>0</v>
      </c>
      <c r="J254" s="23">
        <f t="shared" si="31"/>
        <v>0</v>
      </c>
      <c r="K254" s="22">
        <v>0</v>
      </c>
    </row>
    <row r="255" spans="1:20" ht="18" customHeight="1" x14ac:dyDescent="0.25">
      <c r="A255" s="38"/>
      <c r="B255" s="66"/>
      <c r="C255" s="65"/>
      <c r="D255" s="42"/>
      <c r="E255" s="335" t="s">
        <v>405</v>
      </c>
      <c r="F255" s="21" t="s">
        <v>407</v>
      </c>
      <c r="G255" s="190">
        <v>949974.37</v>
      </c>
      <c r="H255" s="190"/>
      <c r="I255" s="245">
        <v>515340.34</v>
      </c>
      <c r="J255" s="246">
        <f t="shared" si="31"/>
        <v>0.54247815127896559</v>
      </c>
      <c r="K255" s="245">
        <v>13306.42</v>
      </c>
    </row>
    <row r="256" spans="1:20" s="278" customFormat="1" ht="21.6" customHeight="1" x14ac:dyDescent="0.25">
      <c r="A256" s="38"/>
      <c r="B256" s="247"/>
      <c r="C256" s="65"/>
      <c r="D256" s="42"/>
      <c r="E256" s="335" t="s">
        <v>406</v>
      </c>
      <c r="F256" s="21" t="s">
        <v>408</v>
      </c>
      <c r="G256" s="190">
        <v>33347.51</v>
      </c>
      <c r="H256" s="190"/>
      <c r="I256" s="245">
        <v>33347.51</v>
      </c>
      <c r="J256" s="246">
        <f t="shared" si="31"/>
        <v>1</v>
      </c>
      <c r="K256" s="245">
        <v>0</v>
      </c>
    </row>
    <row r="257" spans="1:11" ht="43.8" customHeight="1" x14ac:dyDescent="0.25">
      <c r="A257" s="38"/>
      <c r="B257" s="66"/>
      <c r="C257" s="136" t="s">
        <v>354</v>
      </c>
      <c r="D257" s="136"/>
      <c r="E257" s="136"/>
      <c r="F257" s="194" t="s">
        <v>355</v>
      </c>
      <c r="G257" s="177">
        <f>SUM(G258+G259)</f>
        <v>44309.11</v>
      </c>
      <c r="H257" s="177"/>
      <c r="I257" s="33">
        <v>0</v>
      </c>
      <c r="J257" s="29">
        <v>0</v>
      </c>
      <c r="K257" s="33">
        <v>0</v>
      </c>
    </row>
    <row r="258" spans="1:11" ht="14.4" customHeight="1" x14ac:dyDescent="0.25">
      <c r="A258" s="38"/>
      <c r="B258" s="66"/>
      <c r="C258" s="65"/>
      <c r="D258" s="150"/>
      <c r="E258" s="66" t="s">
        <v>24</v>
      </c>
      <c r="F258" s="145" t="s">
        <v>25</v>
      </c>
      <c r="G258" s="195">
        <v>438.7</v>
      </c>
      <c r="H258" s="190"/>
      <c r="I258" s="22">
        <v>0</v>
      </c>
      <c r="J258" s="23">
        <f>I258/G258</f>
        <v>0</v>
      </c>
      <c r="K258" s="22">
        <v>0</v>
      </c>
    </row>
    <row r="259" spans="1:11" ht="16.95" customHeight="1" x14ac:dyDescent="0.25">
      <c r="A259" s="38"/>
      <c r="B259" s="66"/>
      <c r="C259" s="65"/>
      <c r="D259" s="151"/>
      <c r="E259" s="66" t="s">
        <v>338</v>
      </c>
      <c r="F259" s="145" t="s">
        <v>339</v>
      </c>
      <c r="G259" s="196">
        <v>43870.41</v>
      </c>
      <c r="H259" s="190"/>
      <c r="I259" s="22">
        <v>0</v>
      </c>
      <c r="J259" s="23">
        <f>I259/G259</f>
        <v>0</v>
      </c>
      <c r="K259" s="22">
        <v>0</v>
      </c>
    </row>
    <row r="260" spans="1:11" ht="17.100000000000001" customHeight="1" x14ac:dyDescent="0.25">
      <c r="A260" s="38"/>
      <c r="B260" s="90"/>
      <c r="C260" s="451" t="s">
        <v>119</v>
      </c>
      <c r="D260" s="452"/>
      <c r="E260" s="152"/>
      <c r="F260" s="153" t="s">
        <v>20</v>
      </c>
      <c r="G260" s="197">
        <f>SUM(G261+G262+G267+G263+G264+G265+G266+G268)</f>
        <v>621728.21000000008</v>
      </c>
      <c r="H260" s="197">
        <f t="shared" ref="H260:I260" si="36">SUM(H261+H262+H267+H263+H264+H265+H266+H268)</f>
        <v>146596</v>
      </c>
      <c r="I260" s="197">
        <f t="shared" si="36"/>
        <v>179965.16</v>
      </c>
      <c r="J260" s="29">
        <f t="shared" ref="J260:J295" si="37">I260/G260</f>
        <v>0.28945953731132767</v>
      </c>
      <c r="K260" s="33">
        <f>SUM(K261+K262+K263+K264+K265+K266+K267+K268)</f>
        <v>209.13</v>
      </c>
    </row>
    <row r="261" spans="1:11" ht="45.6" customHeight="1" x14ac:dyDescent="0.25">
      <c r="A261" s="38"/>
      <c r="B261" s="98"/>
      <c r="C261" s="413"/>
      <c r="D261" s="413"/>
      <c r="E261" s="131" t="s">
        <v>120</v>
      </c>
      <c r="F261" s="21" t="s">
        <v>423</v>
      </c>
      <c r="G261" s="160">
        <v>240751</v>
      </c>
      <c r="H261" s="162" t="s">
        <v>254</v>
      </c>
      <c r="I261" s="36">
        <v>120373</v>
      </c>
      <c r="J261" s="37">
        <f t="shared" si="37"/>
        <v>0.49998961582714091</v>
      </c>
      <c r="K261" s="22">
        <v>0</v>
      </c>
    </row>
    <row r="262" spans="1:11" ht="24.6" customHeight="1" x14ac:dyDescent="0.25">
      <c r="A262" s="38"/>
      <c r="B262" s="98"/>
      <c r="C262" s="413"/>
      <c r="D262" s="413"/>
      <c r="E262" s="98" t="s">
        <v>62</v>
      </c>
      <c r="F262" s="21" t="s">
        <v>63</v>
      </c>
      <c r="G262" s="160">
        <v>18000</v>
      </c>
      <c r="H262" s="162" t="s">
        <v>313</v>
      </c>
      <c r="I262" s="22">
        <v>8600</v>
      </c>
      <c r="J262" s="23">
        <f t="shared" si="37"/>
        <v>0.4777777777777778</v>
      </c>
      <c r="K262" s="22">
        <v>0</v>
      </c>
    </row>
    <row r="263" spans="1:11" s="341" customFormat="1" ht="17.399999999999999" customHeight="1" x14ac:dyDescent="0.25">
      <c r="A263" s="38"/>
      <c r="B263" s="335"/>
      <c r="C263" s="335"/>
      <c r="D263" s="335"/>
      <c r="E263" s="335" t="s">
        <v>9</v>
      </c>
      <c r="F263" s="21" t="s">
        <v>10</v>
      </c>
      <c r="G263" s="160">
        <v>10072.65</v>
      </c>
      <c r="H263" s="251"/>
      <c r="I263" s="245">
        <v>5381.84</v>
      </c>
      <c r="J263" s="246">
        <f t="shared" si="37"/>
        <v>0.53430229383528671</v>
      </c>
      <c r="K263" s="245">
        <v>76.7</v>
      </c>
    </row>
    <row r="264" spans="1:11" s="341" customFormat="1" ht="24.6" customHeight="1" x14ac:dyDescent="0.25">
      <c r="A264" s="38"/>
      <c r="B264" s="335"/>
      <c r="C264" s="335"/>
      <c r="D264" s="335"/>
      <c r="E264" s="335" t="s">
        <v>21</v>
      </c>
      <c r="F264" s="21" t="s">
        <v>371</v>
      </c>
      <c r="G264" s="160">
        <v>1435.57</v>
      </c>
      <c r="H264" s="251"/>
      <c r="I264" s="245">
        <v>767.01</v>
      </c>
      <c r="J264" s="246">
        <f t="shared" si="37"/>
        <v>0.53428951566276817</v>
      </c>
      <c r="K264" s="245">
        <v>6.79</v>
      </c>
    </row>
    <row r="265" spans="1:11" s="341" customFormat="1" ht="15.6" customHeight="1" x14ac:dyDescent="0.25">
      <c r="A265" s="38"/>
      <c r="B265" s="335"/>
      <c r="C265" s="335"/>
      <c r="D265" s="335"/>
      <c r="E265" s="335" t="s">
        <v>24</v>
      </c>
      <c r="F265" s="21" t="s">
        <v>25</v>
      </c>
      <c r="G265" s="160">
        <v>3752.95</v>
      </c>
      <c r="H265" s="251"/>
      <c r="I265" s="245">
        <v>3081.2</v>
      </c>
      <c r="J265" s="246">
        <f t="shared" si="37"/>
        <v>0.82100747412035868</v>
      </c>
      <c r="K265" s="245">
        <v>0</v>
      </c>
    </row>
    <row r="266" spans="1:11" s="341" customFormat="1" ht="16.2" customHeight="1" x14ac:dyDescent="0.25">
      <c r="A266" s="38"/>
      <c r="B266" s="335"/>
      <c r="C266" s="335"/>
      <c r="D266" s="335"/>
      <c r="E266" s="335" t="s">
        <v>46</v>
      </c>
      <c r="F266" s="21" t="s">
        <v>47</v>
      </c>
      <c r="G266" s="160">
        <v>41650.93</v>
      </c>
      <c r="H266" s="251"/>
      <c r="I266" s="245">
        <v>0</v>
      </c>
      <c r="J266" s="246">
        <f t="shared" si="37"/>
        <v>0</v>
      </c>
      <c r="K266" s="245">
        <v>0</v>
      </c>
    </row>
    <row r="267" spans="1:11" ht="14.4" customHeight="1" x14ac:dyDescent="0.25">
      <c r="A267" s="38"/>
      <c r="B267" s="229"/>
      <c r="C267" s="229"/>
      <c r="D267" s="229"/>
      <c r="E267" s="229" t="s">
        <v>26</v>
      </c>
      <c r="F267" s="21" t="s">
        <v>27</v>
      </c>
      <c r="G267" s="160">
        <v>247469.28</v>
      </c>
      <c r="H267" s="251"/>
      <c r="I267" s="22">
        <v>9216.43</v>
      </c>
      <c r="J267" s="23">
        <f>SUM(I267/G267)</f>
        <v>3.7242723622099683E-2</v>
      </c>
      <c r="K267" s="22">
        <v>0</v>
      </c>
    </row>
    <row r="268" spans="1:11" s="341" customFormat="1" ht="17.399999999999999" customHeight="1" x14ac:dyDescent="0.25">
      <c r="A268" s="38"/>
      <c r="B268" s="335"/>
      <c r="C268" s="335"/>
      <c r="D268" s="335"/>
      <c r="E268" s="335" t="s">
        <v>405</v>
      </c>
      <c r="F268" s="21" t="s">
        <v>407</v>
      </c>
      <c r="G268" s="160">
        <v>58595.83</v>
      </c>
      <c r="H268" s="251"/>
      <c r="I268" s="245">
        <v>32545.68</v>
      </c>
      <c r="J268" s="246">
        <f>SUM(I268/G268)</f>
        <v>0.55542655509786276</v>
      </c>
      <c r="K268" s="245">
        <v>125.64</v>
      </c>
    </row>
    <row r="269" spans="1:11" ht="17.100000000000001" customHeight="1" thickBot="1" x14ac:dyDescent="0.3">
      <c r="A269" s="38"/>
      <c r="B269" s="99" t="s">
        <v>121</v>
      </c>
      <c r="C269" s="431"/>
      <c r="D269" s="431"/>
      <c r="E269" s="99"/>
      <c r="F269" s="18" t="s">
        <v>122</v>
      </c>
      <c r="G269" s="436">
        <f>SUM(G272+G276+G270)</f>
        <v>271254.67</v>
      </c>
      <c r="H269" s="437"/>
      <c r="I269" s="16">
        <f>SUM(I272+I276+I270)</f>
        <v>33219.69</v>
      </c>
      <c r="J269" s="19">
        <f t="shared" si="37"/>
        <v>0.12246679476522931</v>
      </c>
      <c r="K269" s="16">
        <f>SUM(K276)</f>
        <v>7565.3600000000006</v>
      </c>
    </row>
    <row r="270" spans="1:11" s="341" customFormat="1" ht="17.100000000000001" customHeight="1" thickTop="1" x14ac:dyDescent="0.25">
      <c r="A270" s="38"/>
      <c r="B270" s="107"/>
      <c r="C270" s="68" t="s">
        <v>409</v>
      </c>
      <c r="D270" s="68"/>
      <c r="E270" s="68"/>
      <c r="F270" s="69" t="s">
        <v>411</v>
      </c>
      <c r="G270" s="346">
        <f>SUM(G271)</f>
        <v>15000</v>
      </c>
      <c r="H270" s="346">
        <f t="shared" ref="H270:I270" si="38">SUM(H271)</f>
        <v>0</v>
      </c>
      <c r="I270" s="346">
        <f t="shared" si="38"/>
        <v>0</v>
      </c>
      <c r="J270" s="116">
        <f>SUM(I270/G270)</f>
        <v>0</v>
      </c>
      <c r="K270" s="53">
        <f>SUM(K271)</f>
        <v>0</v>
      </c>
    </row>
    <row r="271" spans="1:11" s="341" customFormat="1" ht="59.4" customHeight="1" x14ac:dyDescent="0.25">
      <c r="A271" s="38"/>
      <c r="B271" s="107"/>
      <c r="C271" s="375"/>
      <c r="D271" s="375"/>
      <c r="E271" s="375" t="s">
        <v>410</v>
      </c>
      <c r="F271" s="376" t="s">
        <v>412</v>
      </c>
      <c r="G271" s="377">
        <v>15000</v>
      </c>
      <c r="H271" s="378"/>
      <c r="I271" s="12">
        <v>0</v>
      </c>
      <c r="J271" s="32">
        <f>SUM(I271/G271)</f>
        <v>0</v>
      </c>
      <c r="K271" s="12">
        <v>0</v>
      </c>
    </row>
    <row r="272" spans="1:11" ht="17.100000000000001" customHeight="1" x14ac:dyDescent="0.25">
      <c r="A272" s="38"/>
      <c r="B272" s="20"/>
      <c r="C272" s="419" t="s">
        <v>123</v>
      </c>
      <c r="D272" s="419"/>
      <c r="E272" s="39"/>
      <c r="F272" s="40" t="s">
        <v>124</v>
      </c>
      <c r="G272" s="424">
        <f>SUM(G273+G274+G275)</f>
        <v>6000</v>
      </c>
      <c r="H272" s="425"/>
      <c r="I272" s="14">
        <f>SUM(I273+I274+I275)</f>
        <v>0</v>
      </c>
      <c r="J272" s="41">
        <f t="shared" si="37"/>
        <v>0</v>
      </c>
      <c r="K272" s="14">
        <v>0</v>
      </c>
    </row>
    <row r="273" spans="1:11" ht="17.100000000000001" customHeight="1" x14ac:dyDescent="0.25">
      <c r="A273" s="38"/>
      <c r="B273" s="98"/>
      <c r="C273" s="413"/>
      <c r="D273" s="413"/>
      <c r="E273" s="34" t="s">
        <v>24</v>
      </c>
      <c r="F273" s="35" t="s">
        <v>25</v>
      </c>
      <c r="G273" s="420">
        <v>2500</v>
      </c>
      <c r="H273" s="421"/>
      <c r="I273" s="36">
        <v>0</v>
      </c>
      <c r="J273" s="37">
        <f t="shared" si="37"/>
        <v>0</v>
      </c>
      <c r="K273" s="22">
        <v>0</v>
      </c>
    </row>
    <row r="274" spans="1:11" ht="17.100000000000001" customHeight="1" x14ac:dyDescent="0.25">
      <c r="A274" s="38"/>
      <c r="B274" s="98"/>
      <c r="C274" s="413"/>
      <c r="D274" s="413"/>
      <c r="E274" s="98" t="s">
        <v>26</v>
      </c>
      <c r="F274" s="21" t="s">
        <v>27</v>
      </c>
      <c r="G274" s="414">
        <v>2500</v>
      </c>
      <c r="H274" s="415"/>
      <c r="I274" s="22">
        <v>0</v>
      </c>
      <c r="J274" s="23">
        <f t="shared" si="37"/>
        <v>0</v>
      </c>
      <c r="K274" s="22">
        <v>0</v>
      </c>
    </row>
    <row r="275" spans="1:11" ht="27.6" customHeight="1" x14ac:dyDescent="0.25">
      <c r="A275" s="38"/>
      <c r="B275" s="98"/>
      <c r="C275" s="98"/>
      <c r="D275" s="98"/>
      <c r="E275" s="98" t="s">
        <v>54</v>
      </c>
      <c r="F275" s="21" t="s">
        <v>55</v>
      </c>
      <c r="G275" s="198">
        <v>1000</v>
      </c>
      <c r="H275" s="199"/>
      <c r="I275" s="13">
        <v>0</v>
      </c>
      <c r="J275" s="23">
        <f t="shared" si="37"/>
        <v>0</v>
      </c>
      <c r="K275" s="22">
        <v>0</v>
      </c>
    </row>
    <row r="276" spans="1:11" ht="17.100000000000001" customHeight="1" x14ac:dyDescent="0.25">
      <c r="A276" s="38"/>
      <c r="B276" s="20"/>
      <c r="C276" s="416" t="s">
        <v>125</v>
      </c>
      <c r="D276" s="416"/>
      <c r="E276" s="27"/>
      <c r="F276" s="28" t="s">
        <v>126</v>
      </c>
      <c r="G276" s="417">
        <f>SUM(G277+G278+G280+G282+G284+G285+G286+G287+G281+G283)</f>
        <v>250254.66999999998</v>
      </c>
      <c r="H276" s="418"/>
      <c r="I276" s="33">
        <f>SUM(I280+I282+I284+I278+I285+I286+I287+I277+I281+I283)</f>
        <v>33219.69</v>
      </c>
      <c r="J276" s="29">
        <f>SUM(I276/G276)</f>
        <v>0.13274353681391843</v>
      </c>
      <c r="K276" s="33">
        <f>SUM(K277:K287)</f>
        <v>7565.3600000000006</v>
      </c>
    </row>
    <row r="277" spans="1:11" ht="17.100000000000001" customHeight="1" x14ac:dyDescent="0.25">
      <c r="A277" s="38"/>
      <c r="B277" s="98"/>
      <c r="C277" s="413"/>
      <c r="D277" s="413"/>
      <c r="E277" s="34" t="s">
        <v>9</v>
      </c>
      <c r="F277" s="35" t="s">
        <v>10</v>
      </c>
      <c r="G277" s="420">
        <v>800</v>
      </c>
      <c r="H277" s="421"/>
      <c r="I277" s="36">
        <v>0</v>
      </c>
      <c r="J277" s="37">
        <f t="shared" si="37"/>
        <v>0</v>
      </c>
      <c r="K277" s="36">
        <v>0</v>
      </c>
    </row>
    <row r="278" spans="1:11" ht="27.6" customHeight="1" x14ac:dyDescent="0.25">
      <c r="A278" s="38"/>
      <c r="B278" s="266"/>
      <c r="C278" s="413"/>
      <c r="D278" s="413"/>
      <c r="E278" s="266" t="s">
        <v>21</v>
      </c>
      <c r="F278" s="21" t="s">
        <v>371</v>
      </c>
      <c r="G278" s="414">
        <v>200</v>
      </c>
      <c r="H278" s="415"/>
      <c r="I278" s="245">
        <v>0</v>
      </c>
      <c r="J278" s="246">
        <f t="shared" ref="J278" si="39">I278/G278</f>
        <v>0</v>
      </c>
      <c r="K278" s="245">
        <v>0</v>
      </c>
    </row>
    <row r="279" spans="1:11" s="341" customFormat="1" ht="18" customHeight="1" x14ac:dyDescent="0.25">
      <c r="A279" s="38"/>
      <c r="B279" s="43" t="s">
        <v>199</v>
      </c>
      <c r="C279" s="43" t="s">
        <v>200</v>
      </c>
      <c r="D279" s="43"/>
      <c r="E279" s="43" t="s">
        <v>201</v>
      </c>
      <c r="F279" s="43" t="s">
        <v>202</v>
      </c>
      <c r="G279" s="57" t="s">
        <v>203</v>
      </c>
      <c r="H279" s="57"/>
      <c r="I279" s="44" t="s">
        <v>204</v>
      </c>
      <c r="J279" s="44" t="s">
        <v>205</v>
      </c>
      <c r="K279" s="44" t="s">
        <v>206</v>
      </c>
    </row>
    <row r="280" spans="1:11" ht="17.100000000000001" customHeight="1" x14ac:dyDescent="0.25">
      <c r="A280" s="38"/>
      <c r="B280" s="98"/>
      <c r="C280" s="413"/>
      <c r="D280" s="413"/>
      <c r="E280" s="98" t="s">
        <v>22</v>
      </c>
      <c r="F280" s="21" t="s">
        <v>23</v>
      </c>
      <c r="G280" s="414">
        <v>47000</v>
      </c>
      <c r="H280" s="415"/>
      <c r="I280" s="22">
        <v>16551.5</v>
      </c>
      <c r="J280" s="23">
        <f t="shared" si="37"/>
        <v>0.3521595744680851</v>
      </c>
      <c r="K280" s="22">
        <v>0</v>
      </c>
    </row>
    <row r="281" spans="1:11" s="341" customFormat="1" ht="17.100000000000001" customHeight="1" x14ac:dyDescent="0.25">
      <c r="A281" s="38"/>
      <c r="B281" s="335"/>
      <c r="C281" s="335"/>
      <c r="D281" s="335"/>
      <c r="E281" s="335" t="s">
        <v>350</v>
      </c>
      <c r="F281" s="21" t="s">
        <v>351</v>
      </c>
      <c r="G281" s="337">
        <v>13000</v>
      </c>
      <c r="H281" s="338"/>
      <c r="I281" s="245">
        <v>1948.71</v>
      </c>
      <c r="J281" s="246">
        <f t="shared" si="37"/>
        <v>0.14990076923076923</v>
      </c>
      <c r="K281" s="245">
        <v>217</v>
      </c>
    </row>
    <row r="282" spans="1:11" ht="17.100000000000001" customHeight="1" x14ac:dyDescent="0.25">
      <c r="A282" s="38"/>
      <c r="B282" s="98"/>
      <c r="C282" s="413"/>
      <c r="D282" s="413"/>
      <c r="E282" s="98" t="s">
        <v>24</v>
      </c>
      <c r="F282" s="21" t="s">
        <v>25</v>
      </c>
      <c r="G282" s="414">
        <v>33888.339999999997</v>
      </c>
      <c r="H282" s="415"/>
      <c r="I282" s="22">
        <v>80</v>
      </c>
      <c r="J282" s="23">
        <f t="shared" si="37"/>
        <v>2.3606939732073039E-3</v>
      </c>
      <c r="K282" s="22">
        <v>3972.53</v>
      </c>
    </row>
    <row r="283" spans="1:11" s="341" customFormat="1" ht="17.100000000000001" customHeight="1" x14ac:dyDescent="0.25">
      <c r="A283" s="38"/>
      <c r="B283" s="335"/>
      <c r="C283" s="335"/>
      <c r="D283" s="335"/>
      <c r="E283" s="335" t="s">
        <v>110</v>
      </c>
      <c r="F283" s="21" t="s">
        <v>111</v>
      </c>
      <c r="G283" s="337">
        <v>8000</v>
      </c>
      <c r="H283" s="338"/>
      <c r="I283" s="245">
        <v>409.48</v>
      </c>
      <c r="J283" s="246">
        <f t="shared" si="37"/>
        <v>5.1185000000000001E-2</v>
      </c>
      <c r="K283" s="245">
        <v>1625.83</v>
      </c>
    </row>
    <row r="284" spans="1:11" ht="17.100000000000001" customHeight="1" x14ac:dyDescent="0.25">
      <c r="A284" s="38"/>
      <c r="B284" s="98"/>
      <c r="C284" s="413"/>
      <c r="D284" s="413"/>
      <c r="E284" s="98" t="s">
        <v>26</v>
      </c>
      <c r="F284" s="21" t="s">
        <v>27</v>
      </c>
      <c r="G284" s="414">
        <v>140866.32999999999</v>
      </c>
      <c r="H284" s="415"/>
      <c r="I284" s="22">
        <v>14031</v>
      </c>
      <c r="J284" s="23">
        <f t="shared" si="37"/>
        <v>9.9605065312626528E-2</v>
      </c>
      <c r="K284" s="22">
        <v>1750</v>
      </c>
    </row>
    <row r="285" spans="1:11" ht="17.100000000000001" customHeight="1" x14ac:dyDescent="0.25">
      <c r="A285" s="38"/>
      <c r="B285" s="98"/>
      <c r="C285" s="98"/>
      <c r="D285" s="98"/>
      <c r="E285" s="98" t="s">
        <v>52</v>
      </c>
      <c r="F285" s="21" t="s">
        <v>53</v>
      </c>
      <c r="G285" s="169" t="s">
        <v>127</v>
      </c>
      <c r="H285" s="170"/>
      <c r="I285" s="22">
        <v>0</v>
      </c>
      <c r="J285" s="23">
        <f t="shared" si="37"/>
        <v>0</v>
      </c>
      <c r="K285" s="22">
        <v>0</v>
      </c>
    </row>
    <row r="286" spans="1:11" ht="17.100000000000001" customHeight="1" x14ac:dyDescent="0.25">
      <c r="A286" s="38"/>
      <c r="B286" s="229"/>
      <c r="C286" s="229"/>
      <c r="D286" s="229"/>
      <c r="E286" s="229" t="s">
        <v>28</v>
      </c>
      <c r="F286" s="21" t="s">
        <v>367</v>
      </c>
      <c r="G286" s="230">
        <v>1500</v>
      </c>
      <c r="H286" s="231"/>
      <c r="I286" s="22">
        <v>0</v>
      </c>
      <c r="J286" s="23">
        <f>SUM(I286/G286)</f>
        <v>0</v>
      </c>
      <c r="K286" s="22">
        <v>0</v>
      </c>
    </row>
    <row r="287" spans="1:11" ht="27" customHeight="1" x14ac:dyDescent="0.25">
      <c r="A287" s="38"/>
      <c r="B287" s="98"/>
      <c r="C287" s="98"/>
      <c r="D287" s="98"/>
      <c r="E287" s="98" t="s">
        <v>54</v>
      </c>
      <c r="F287" s="21" t="s">
        <v>55</v>
      </c>
      <c r="G287" s="169">
        <v>4000</v>
      </c>
      <c r="H287" s="170"/>
      <c r="I287" s="22">
        <v>199</v>
      </c>
      <c r="J287" s="23">
        <f t="shared" si="37"/>
        <v>4.9750000000000003E-2</v>
      </c>
      <c r="K287" s="245">
        <v>0</v>
      </c>
    </row>
    <row r="288" spans="1:11" ht="17.100000000000001" customHeight="1" thickBot="1" x14ac:dyDescent="0.3">
      <c r="A288" s="38"/>
      <c r="B288" s="356" t="s">
        <v>128</v>
      </c>
      <c r="C288" s="431"/>
      <c r="D288" s="431"/>
      <c r="E288" s="356"/>
      <c r="F288" s="18" t="s">
        <v>129</v>
      </c>
      <c r="G288" s="436">
        <f>G289+G291+G295+G298+G300+G302+G306+G324+G332+G334</f>
        <v>4453304</v>
      </c>
      <c r="H288" s="437"/>
      <c r="I288" s="16">
        <f>I289+I291+I295+I298+I300+I302+I306+I324+I332+I334</f>
        <v>2583201.92</v>
      </c>
      <c r="J288" s="19">
        <f t="shared" si="37"/>
        <v>0.58006413215895436</v>
      </c>
      <c r="K288" s="16">
        <f>K289+K291+K295+K298+K300+K302+K306+K324+K332+K334</f>
        <v>1560.08</v>
      </c>
    </row>
    <row r="289" spans="1:19" ht="17.100000000000001" customHeight="1" thickTop="1" x14ac:dyDescent="0.25">
      <c r="A289" s="38"/>
      <c r="B289" s="20"/>
      <c r="C289" s="419" t="s">
        <v>130</v>
      </c>
      <c r="D289" s="419"/>
      <c r="E289" s="39"/>
      <c r="F289" s="40" t="s">
        <v>131</v>
      </c>
      <c r="G289" s="424">
        <f>SUM(G290)</f>
        <v>488680</v>
      </c>
      <c r="H289" s="425"/>
      <c r="I289" s="14">
        <f>SUM(I290)</f>
        <v>250384.71</v>
      </c>
      <c r="J289" s="41">
        <f t="shared" si="37"/>
        <v>0.51236946468036337</v>
      </c>
      <c r="K289" s="54">
        <v>0</v>
      </c>
    </row>
    <row r="290" spans="1:19" ht="37.950000000000003" customHeight="1" x14ac:dyDescent="0.25">
      <c r="A290" s="38"/>
      <c r="B290" s="98"/>
      <c r="C290" s="413"/>
      <c r="D290" s="413"/>
      <c r="E290" s="30" t="s">
        <v>132</v>
      </c>
      <c r="F290" s="31" t="s">
        <v>133</v>
      </c>
      <c r="G290" s="432">
        <v>488680</v>
      </c>
      <c r="H290" s="433"/>
      <c r="I290" s="12">
        <v>250384.71</v>
      </c>
      <c r="J290" s="32">
        <f t="shared" si="37"/>
        <v>0.51236946468036337</v>
      </c>
      <c r="K290" s="12">
        <v>0</v>
      </c>
    </row>
    <row r="291" spans="1:19" ht="24" customHeight="1" x14ac:dyDescent="0.25">
      <c r="A291" s="38"/>
      <c r="B291" s="20"/>
      <c r="C291" s="416" t="s">
        <v>137</v>
      </c>
      <c r="D291" s="416"/>
      <c r="E291" s="27"/>
      <c r="F291" s="28" t="s">
        <v>138</v>
      </c>
      <c r="G291" s="417" t="s">
        <v>88</v>
      </c>
      <c r="H291" s="418"/>
      <c r="I291" s="33">
        <f>SUM(I292:I294)</f>
        <v>696.8</v>
      </c>
      <c r="J291" s="29">
        <f t="shared" si="37"/>
        <v>0.34839999999999999</v>
      </c>
      <c r="K291" s="33">
        <v>0</v>
      </c>
    </row>
    <row r="292" spans="1:19" ht="17.100000000000001" customHeight="1" x14ac:dyDescent="0.25">
      <c r="A292" s="38"/>
      <c r="B292" s="98"/>
      <c r="C292" s="413"/>
      <c r="D292" s="413"/>
      <c r="E292" s="34" t="s">
        <v>24</v>
      </c>
      <c r="F292" s="35" t="s">
        <v>25</v>
      </c>
      <c r="G292" s="420">
        <v>500</v>
      </c>
      <c r="H292" s="421"/>
      <c r="I292" s="36">
        <v>500</v>
      </c>
      <c r="J292" s="37">
        <f t="shared" si="37"/>
        <v>1</v>
      </c>
      <c r="K292" s="36">
        <v>0</v>
      </c>
    </row>
    <row r="293" spans="1:19" ht="17.100000000000001" customHeight="1" x14ac:dyDescent="0.25">
      <c r="A293" s="38"/>
      <c r="B293" s="98"/>
      <c r="C293" s="413"/>
      <c r="D293" s="413"/>
      <c r="E293" s="98" t="s">
        <v>26</v>
      </c>
      <c r="F293" s="21" t="s">
        <v>27</v>
      </c>
      <c r="G293" s="414">
        <v>500</v>
      </c>
      <c r="H293" s="415"/>
      <c r="I293" s="22">
        <v>196.8</v>
      </c>
      <c r="J293" s="23">
        <f t="shared" si="37"/>
        <v>0.39360000000000001</v>
      </c>
      <c r="K293" s="22">
        <v>0</v>
      </c>
    </row>
    <row r="294" spans="1:19" ht="22.5" customHeight="1" x14ac:dyDescent="0.25">
      <c r="A294" s="38"/>
      <c r="B294" s="98"/>
      <c r="C294" s="413"/>
      <c r="D294" s="413"/>
      <c r="E294" s="98" t="s">
        <v>54</v>
      </c>
      <c r="F294" s="21" t="s">
        <v>55</v>
      </c>
      <c r="G294" s="414">
        <v>1000</v>
      </c>
      <c r="H294" s="415"/>
      <c r="I294" s="22">
        <v>0</v>
      </c>
      <c r="J294" s="23">
        <f t="shared" si="37"/>
        <v>0</v>
      </c>
      <c r="K294" s="22">
        <v>0</v>
      </c>
    </row>
    <row r="295" spans="1:19" ht="66" customHeight="1" x14ac:dyDescent="0.25">
      <c r="A295" s="92"/>
      <c r="B295" s="66"/>
      <c r="C295" s="454" t="s">
        <v>146</v>
      </c>
      <c r="D295" s="454"/>
      <c r="E295" s="91"/>
      <c r="F295" s="73" t="s">
        <v>363</v>
      </c>
      <c r="G295" s="455">
        <f>SUM(G297)</f>
        <v>36000</v>
      </c>
      <c r="H295" s="455"/>
      <c r="I295" s="33">
        <f>SUM(I297)</f>
        <v>18782.71</v>
      </c>
      <c r="J295" s="29">
        <f t="shared" si="37"/>
        <v>0.52174194444444444</v>
      </c>
      <c r="K295" s="33">
        <v>0</v>
      </c>
      <c r="S295" s="278"/>
    </row>
    <row r="296" spans="1:19" ht="1.2" hidden="1" customHeight="1" x14ac:dyDescent="0.25">
      <c r="A296" s="38"/>
      <c r="B296" s="42"/>
      <c r="C296" s="42"/>
      <c r="D296" s="42"/>
      <c r="E296" s="42"/>
      <c r="F296" s="45"/>
      <c r="G296" s="63"/>
      <c r="H296" s="63"/>
      <c r="I296" s="63"/>
      <c r="J296" s="46"/>
      <c r="K296" s="63"/>
    </row>
    <row r="297" spans="1:19" ht="17.100000000000001" customHeight="1" x14ac:dyDescent="0.25">
      <c r="A297" s="38"/>
      <c r="B297" s="98"/>
      <c r="C297" s="413"/>
      <c r="D297" s="413"/>
      <c r="E297" s="34" t="s">
        <v>147</v>
      </c>
      <c r="F297" s="35" t="s">
        <v>148</v>
      </c>
      <c r="G297" s="420">
        <v>36000</v>
      </c>
      <c r="H297" s="421"/>
      <c r="I297" s="36">
        <v>18782.71</v>
      </c>
      <c r="J297" s="37">
        <f t="shared" ref="J297:J305" si="40">I297/G297</f>
        <v>0.52174194444444444</v>
      </c>
      <c r="K297" s="36">
        <v>0</v>
      </c>
    </row>
    <row r="298" spans="1:19" ht="31.2" customHeight="1" x14ac:dyDescent="0.25">
      <c r="A298" s="38"/>
      <c r="B298" s="20"/>
      <c r="C298" s="416" t="s">
        <v>149</v>
      </c>
      <c r="D298" s="416"/>
      <c r="E298" s="27"/>
      <c r="F298" s="28" t="s">
        <v>335</v>
      </c>
      <c r="G298" s="417">
        <f>SUM(G299)</f>
        <v>280000</v>
      </c>
      <c r="H298" s="418"/>
      <c r="I298" s="33">
        <f>SUM(I299)</f>
        <v>136840.53</v>
      </c>
      <c r="J298" s="29">
        <f t="shared" si="40"/>
        <v>0.48871617857142857</v>
      </c>
      <c r="K298" s="33">
        <v>0</v>
      </c>
    </row>
    <row r="299" spans="1:19" ht="17.100000000000001" customHeight="1" x14ac:dyDescent="0.25">
      <c r="A299" s="38"/>
      <c r="B299" s="98"/>
      <c r="C299" s="413"/>
      <c r="D299" s="413"/>
      <c r="E299" s="34" t="s">
        <v>135</v>
      </c>
      <c r="F299" s="35" t="s">
        <v>136</v>
      </c>
      <c r="G299" s="420">
        <v>280000</v>
      </c>
      <c r="H299" s="421"/>
      <c r="I299" s="36">
        <v>136840.53</v>
      </c>
      <c r="J299" s="37">
        <f t="shared" si="40"/>
        <v>0.48871617857142857</v>
      </c>
      <c r="K299" s="36">
        <v>0</v>
      </c>
    </row>
    <row r="300" spans="1:19" ht="17.100000000000001" customHeight="1" x14ac:dyDescent="0.25">
      <c r="A300" s="38"/>
      <c r="B300" s="20"/>
      <c r="C300" s="416" t="s">
        <v>150</v>
      </c>
      <c r="D300" s="416"/>
      <c r="E300" s="27"/>
      <c r="F300" s="28" t="s">
        <v>151</v>
      </c>
      <c r="G300" s="417">
        <f>SUM(G301)</f>
        <v>8000</v>
      </c>
      <c r="H300" s="418"/>
      <c r="I300" s="33">
        <f>SUM(I301)</f>
        <v>3050.67</v>
      </c>
      <c r="J300" s="29">
        <f t="shared" si="40"/>
        <v>0.38133375000000003</v>
      </c>
      <c r="K300" s="33">
        <v>0</v>
      </c>
    </row>
    <row r="301" spans="1:19" ht="17.100000000000001" customHeight="1" x14ac:dyDescent="0.25">
      <c r="A301" s="38"/>
      <c r="B301" s="98"/>
      <c r="C301" s="413"/>
      <c r="D301" s="413"/>
      <c r="E301" s="34" t="s">
        <v>135</v>
      </c>
      <c r="F301" s="35" t="s">
        <v>136</v>
      </c>
      <c r="G301" s="420">
        <v>8000</v>
      </c>
      <c r="H301" s="421"/>
      <c r="I301" s="36">
        <v>3050.67</v>
      </c>
      <c r="J301" s="37">
        <f t="shared" si="40"/>
        <v>0.38133375000000003</v>
      </c>
      <c r="K301" s="22">
        <v>0</v>
      </c>
    </row>
    <row r="302" spans="1:19" ht="17.100000000000001" customHeight="1" x14ac:dyDescent="0.25">
      <c r="A302" s="38"/>
      <c r="B302" s="20"/>
      <c r="C302" s="416" t="s">
        <v>152</v>
      </c>
      <c r="D302" s="416"/>
      <c r="E302" s="27"/>
      <c r="F302" s="28" t="s">
        <v>153</v>
      </c>
      <c r="G302" s="417">
        <f>SUM(G303+G304+G305)</f>
        <v>371500</v>
      </c>
      <c r="H302" s="418"/>
      <c r="I302" s="33">
        <f>SUM(I303+I304+I305)</f>
        <v>215764.35</v>
      </c>
      <c r="J302" s="29">
        <f t="shared" si="40"/>
        <v>0.5807923283983849</v>
      </c>
      <c r="K302" s="33">
        <v>0</v>
      </c>
    </row>
    <row r="303" spans="1:19" ht="66.599999999999994" customHeight="1" x14ac:dyDescent="0.25">
      <c r="A303" s="38"/>
      <c r="B303" s="20"/>
      <c r="C303" s="58"/>
      <c r="D303" s="58"/>
      <c r="E303" s="74" t="s">
        <v>142</v>
      </c>
      <c r="F303" s="80" t="s">
        <v>270</v>
      </c>
      <c r="G303" s="169">
        <v>1000</v>
      </c>
      <c r="H303" s="170"/>
      <c r="I303" s="22">
        <v>0</v>
      </c>
      <c r="J303" s="37">
        <f t="shared" si="40"/>
        <v>0</v>
      </c>
      <c r="K303" s="22">
        <v>0</v>
      </c>
    </row>
    <row r="304" spans="1:19" ht="17.100000000000001" customHeight="1" x14ac:dyDescent="0.25">
      <c r="A304" s="38"/>
      <c r="B304" s="98"/>
      <c r="C304" s="413"/>
      <c r="D304" s="413"/>
      <c r="E304" s="111" t="s">
        <v>135</v>
      </c>
      <c r="F304" s="21" t="s">
        <v>136</v>
      </c>
      <c r="G304" s="414">
        <v>370000</v>
      </c>
      <c r="H304" s="415"/>
      <c r="I304" s="22">
        <v>215764.35</v>
      </c>
      <c r="J304" s="23">
        <f t="shared" si="40"/>
        <v>0.58314689189189195</v>
      </c>
      <c r="K304" s="22">
        <v>0</v>
      </c>
    </row>
    <row r="305" spans="1:11" ht="17.100000000000001" customHeight="1" x14ac:dyDescent="0.25">
      <c r="A305" s="38"/>
      <c r="B305" s="98"/>
      <c r="C305" s="98"/>
      <c r="D305" s="98"/>
      <c r="E305" s="24" t="s">
        <v>104</v>
      </c>
      <c r="F305" s="25" t="s">
        <v>105</v>
      </c>
      <c r="G305" s="198">
        <v>500</v>
      </c>
      <c r="H305" s="199"/>
      <c r="I305" s="13">
        <v>0</v>
      </c>
      <c r="J305" s="26">
        <f t="shared" si="40"/>
        <v>0</v>
      </c>
      <c r="K305" s="22">
        <v>0</v>
      </c>
    </row>
    <row r="306" spans="1:11" ht="17.100000000000001" customHeight="1" x14ac:dyDescent="0.25">
      <c r="A306" s="38"/>
      <c r="B306" s="20"/>
      <c r="C306" s="416" t="s">
        <v>154</v>
      </c>
      <c r="D306" s="416"/>
      <c r="E306" s="27"/>
      <c r="F306" s="28" t="s">
        <v>155</v>
      </c>
      <c r="G306" s="417">
        <f>G307+G308+G309+G310+G312+G313+G314+G315+G316+G317+G318+G319+G320+G321+G322+G323</f>
        <v>1211692</v>
      </c>
      <c r="H306" s="418"/>
      <c r="I306" s="33">
        <f>I307+I308+I309+I310+I312+I313+I314+I315+I316+I317+I318+I319+I320+I321+I322</f>
        <v>597494.20999999985</v>
      </c>
      <c r="J306" s="29">
        <f t="shared" ref="J306:J313" si="41">I306/G306</f>
        <v>0.49310733255645811</v>
      </c>
      <c r="K306" s="33">
        <f>SUM(K307:K322)</f>
        <v>367.58</v>
      </c>
    </row>
    <row r="307" spans="1:11" ht="21.75" customHeight="1" x14ac:dyDescent="0.25">
      <c r="A307" s="38"/>
      <c r="B307" s="98"/>
      <c r="C307" s="413"/>
      <c r="D307" s="413"/>
      <c r="E307" s="34" t="s">
        <v>62</v>
      </c>
      <c r="F307" s="35" t="s">
        <v>63</v>
      </c>
      <c r="G307" s="420">
        <v>3000</v>
      </c>
      <c r="H307" s="421"/>
      <c r="I307" s="36">
        <v>997.02</v>
      </c>
      <c r="J307" s="37">
        <f t="shared" si="41"/>
        <v>0.33233999999999997</v>
      </c>
      <c r="K307" s="22">
        <v>0</v>
      </c>
    </row>
    <row r="308" spans="1:11" ht="17.100000000000001" customHeight="1" x14ac:dyDescent="0.25">
      <c r="A308" s="38"/>
      <c r="B308" s="98"/>
      <c r="C308" s="413"/>
      <c r="D308" s="413"/>
      <c r="E308" s="98" t="s">
        <v>5</v>
      </c>
      <c r="F308" s="21" t="s">
        <v>6</v>
      </c>
      <c r="G308" s="414">
        <v>831156</v>
      </c>
      <c r="H308" s="415"/>
      <c r="I308" s="22">
        <v>375294.65</v>
      </c>
      <c r="J308" s="23">
        <f t="shared" si="41"/>
        <v>0.45153334632728398</v>
      </c>
      <c r="K308" s="22">
        <v>0</v>
      </c>
    </row>
    <row r="309" spans="1:11" ht="17.100000000000001" customHeight="1" x14ac:dyDescent="0.25">
      <c r="A309" s="38"/>
      <c r="B309" s="98"/>
      <c r="C309" s="413"/>
      <c r="D309" s="413"/>
      <c r="E309" s="98" t="s">
        <v>7</v>
      </c>
      <c r="F309" s="21" t="s">
        <v>8</v>
      </c>
      <c r="G309" s="414">
        <v>59504</v>
      </c>
      <c r="H309" s="415"/>
      <c r="I309" s="22">
        <v>59482.18</v>
      </c>
      <c r="J309" s="23">
        <f t="shared" si="41"/>
        <v>0.99963330196289324</v>
      </c>
      <c r="K309" s="22">
        <v>0</v>
      </c>
    </row>
    <row r="310" spans="1:11" s="267" customFormat="1" ht="17.100000000000001" customHeight="1" x14ac:dyDescent="0.25">
      <c r="A310" s="38"/>
      <c r="B310" s="266"/>
      <c r="C310" s="413"/>
      <c r="D310" s="413"/>
      <c r="E310" s="266" t="s">
        <v>9</v>
      </c>
      <c r="F310" s="21" t="s">
        <v>10</v>
      </c>
      <c r="G310" s="414">
        <v>157430</v>
      </c>
      <c r="H310" s="415"/>
      <c r="I310" s="245">
        <v>75050.759999999995</v>
      </c>
      <c r="J310" s="246">
        <f t="shared" ref="J310" si="42">I310/G310</f>
        <v>0.47672463952232735</v>
      </c>
      <c r="K310" s="245">
        <v>0</v>
      </c>
    </row>
    <row r="311" spans="1:11" s="367" customFormat="1" ht="17.100000000000001" customHeight="1" x14ac:dyDescent="0.25">
      <c r="A311" s="38"/>
      <c r="B311" s="43" t="s">
        <v>199</v>
      </c>
      <c r="C311" s="43" t="s">
        <v>200</v>
      </c>
      <c r="D311" s="43"/>
      <c r="E311" s="43" t="s">
        <v>201</v>
      </c>
      <c r="F311" s="43" t="s">
        <v>202</v>
      </c>
      <c r="G311" s="57" t="s">
        <v>203</v>
      </c>
      <c r="H311" s="57"/>
      <c r="I311" s="44" t="s">
        <v>204</v>
      </c>
      <c r="J311" s="44" t="s">
        <v>205</v>
      </c>
      <c r="K311" s="44" t="s">
        <v>206</v>
      </c>
    </row>
    <row r="312" spans="1:11" ht="24" customHeight="1" x14ac:dyDescent="0.25">
      <c r="A312" s="38"/>
      <c r="B312" s="98"/>
      <c r="C312" s="413"/>
      <c r="D312" s="413"/>
      <c r="E312" s="98" t="s">
        <v>21</v>
      </c>
      <c r="F312" s="21" t="s">
        <v>371</v>
      </c>
      <c r="G312" s="414">
        <v>22081</v>
      </c>
      <c r="H312" s="415"/>
      <c r="I312" s="22">
        <v>9672</v>
      </c>
      <c r="J312" s="23">
        <f t="shared" si="41"/>
        <v>0.43802364023368506</v>
      </c>
      <c r="K312" s="22">
        <v>0</v>
      </c>
    </row>
    <row r="313" spans="1:11" ht="14.4" customHeight="1" x14ac:dyDescent="0.25">
      <c r="A313" s="38"/>
      <c r="B313" s="98"/>
      <c r="C313" s="413"/>
      <c r="D313" s="413"/>
      <c r="E313" s="98" t="s">
        <v>22</v>
      </c>
      <c r="F313" s="21" t="s">
        <v>23</v>
      </c>
      <c r="G313" s="414">
        <v>7200</v>
      </c>
      <c r="H313" s="415"/>
      <c r="I313" s="22">
        <v>3600</v>
      </c>
      <c r="J313" s="23">
        <f t="shared" si="41"/>
        <v>0.5</v>
      </c>
      <c r="K313" s="22">
        <v>0</v>
      </c>
    </row>
    <row r="314" spans="1:11" ht="13.8" customHeight="1" x14ac:dyDescent="0.25">
      <c r="A314" s="38"/>
      <c r="B314" s="98"/>
      <c r="C314" s="413"/>
      <c r="D314" s="413"/>
      <c r="E314" s="98" t="s">
        <v>24</v>
      </c>
      <c r="F314" s="21" t="s">
        <v>25</v>
      </c>
      <c r="G314" s="414">
        <v>15000</v>
      </c>
      <c r="H314" s="415"/>
      <c r="I314" s="22">
        <v>10306.02</v>
      </c>
      <c r="J314" s="23">
        <f t="shared" ref="J314:J320" si="43">I314/G314</f>
        <v>0.68706800000000001</v>
      </c>
      <c r="K314" s="22">
        <v>0</v>
      </c>
    </row>
    <row r="315" spans="1:11" ht="13.2" customHeight="1" x14ac:dyDescent="0.25">
      <c r="A315" s="38"/>
      <c r="B315" s="98"/>
      <c r="C315" s="413"/>
      <c r="D315" s="413"/>
      <c r="E315" s="98" t="s">
        <v>68</v>
      </c>
      <c r="F315" s="21" t="s">
        <v>69</v>
      </c>
      <c r="G315" s="414">
        <v>20000</v>
      </c>
      <c r="H315" s="415"/>
      <c r="I315" s="22">
        <v>12866.48</v>
      </c>
      <c r="J315" s="23">
        <f t="shared" si="43"/>
        <v>0.64332400000000001</v>
      </c>
      <c r="K315" s="22">
        <v>0</v>
      </c>
    </row>
    <row r="316" spans="1:11" ht="15" customHeight="1" x14ac:dyDescent="0.25">
      <c r="A316" s="38"/>
      <c r="B316" s="98"/>
      <c r="C316" s="413"/>
      <c r="D316" s="413"/>
      <c r="E316" s="98" t="s">
        <v>70</v>
      </c>
      <c r="F316" s="21" t="s">
        <v>71</v>
      </c>
      <c r="G316" s="414">
        <v>1500</v>
      </c>
      <c r="H316" s="415"/>
      <c r="I316" s="22">
        <v>800</v>
      </c>
      <c r="J316" s="23">
        <f t="shared" si="43"/>
        <v>0.53333333333333333</v>
      </c>
      <c r="K316" s="22">
        <v>0</v>
      </c>
    </row>
    <row r="317" spans="1:11" ht="14.4" customHeight="1" x14ac:dyDescent="0.25">
      <c r="A317" s="38"/>
      <c r="B317" s="98"/>
      <c r="C317" s="413"/>
      <c r="D317" s="413"/>
      <c r="E317" s="98" t="s">
        <v>26</v>
      </c>
      <c r="F317" s="21" t="s">
        <v>27</v>
      </c>
      <c r="G317" s="414">
        <v>37800</v>
      </c>
      <c r="H317" s="415"/>
      <c r="I317" s="22">
        <v>20736.689999999999</v>
      </c>
      <c r="J317" s="23">
        <f t="shared" si="43"/>
        <v>0.54858968253968254</v>
      </c>
      <c r="K317" s="22">
        <v>367.58</v>
      </c>
    </row>
    <row r="318" spans="1:11" ht="25.5" customHeight="1" x14ac:dyDescent="0.25">
      <c r="A318" s="38"/>
      <c r="B318" s="98"/>
      <c r="C318" s="413"/>
      <c r="D318" s="413"/>
      <c r="E318" s="98" t="s">
        <v>72</v>
      </c>
      <c r="F318" s="9" t="s">
        <v>214</v>
      </c>
      <c r="G318" s="414">
        <v>4000</v>
      </c>
      <c r="H318" s="415"/>
      <c r="I318" s="22">
        <v>1635.52</v>
      </c>
      <c r="J318" s="23">
        <f t="shared" si="43"/>
        <v>0.40888000000000002</v>
      </c>
      <c r="K318" s="22">
        <v>0</v>
      </c>
    </row>
    <row r="319" spans="1:11" ht="13.8" customHeight="1" x14ac:dyDescent="0.25">
      <c r="A319" s="38"/>
      <c r="B319" s="98"/>
      <c r="C319" s="413"/>
      <c r="D319" s="413"/>
      <c r="E319" s="98" t="s">
        <v>52</v>
      </c>
      <c r="F319" s="21" t="s">
        <v>53</v>
      </c>
      <c r="G319" s="414">
        <v>21000</v>
      </c>
      <c r="H319" s="415"/>
      <c r="I319" s="22">
        <v>4423.3599999999997</v>
      </c>
      <c r="J319" s="23">
        <f t="shared" si="43"/>
        <v>0.21063619047619045</v>
      </c>
      <c r="K319" s="22">
        <v>0</v>
      </c>
    </row>
    <row r="320" spans="1:11" ht="14.4" customHeight="1" x14ac:dyDescent="0.25">
      <c r="A320" s="38"/>
      <c r="B320" s="98"/>
      <c r="C320" s="413"/>
      <c r="D320" s="413"/>
      <c r="E320" s="98" t="s">
        <v>28</v>
      </c>
      <c r="F320" s="21" t="s">
        <v>29</v>
      </c>
      <c r="G320" s="414">
        <v>882</v>
      </c>
      <c r="H320" s="415"/>
      <c r="I320" s="22">
        <v>716.71</v>
      </c>
      <c r="J320" s="23">
        <f t="shared" si="43"/>
        <v>0.81259637188208622</v>
      </c>
      <c r="K320" s="22">
        <v>0</v>
      </c>
    </row>
    <row r="321" spans="1:11" ht="24" customHeight="1" x14ac:dyDescent="0.25">
      <c r="A321" s="38"/>
      <c r="B321" s="98"/>
      <c r="C321" s="413"/>
      <c r="D321" s="413"/>
      <c r="E321" s="98" t="s">
        <v>11</v>
      </c>
      <c r="F321" s="21" t="s">
        <v>12</v>
      </c>
      <c r="G321" s="414">
        <v>27439</v>
      </c>
      <c r="H321" s="415"/>
      <c r="I321" s="22">
        <v>19643.82</v>
      </c>
      <c r="J321" s="23">
        <f t="shared" ref="J321:J347" si="44">I321/G321</f>
        <v>0.71590874302999374</v>
      </c>
      <c r="K321" s="22">
        <v>0</v>
      </c>
    </row>
    <row r="322" spans="1:11" ht="22.5" customHeight="1" x14ac:dyDescent="0.25">
      <c r="A322" s="38"/>
      <c r="B322" s="98"/>
      <c r="C322" s="413"/>
      <c r="D322" s="413"/>
      <c r="E322" s="98" t="s">
        <v>54</v>
      </c>
      <c r="F322" s="21" t="s">
        <v>55</v>
      </c>
      <c r="G322" s="414">
        <v>2700</v>
      </c>
      <c r="H322" s="415"/>
      <c r="I322" s="22">
        <v>2269</v>
      </c>
      <c r="J322" s="23">
        <f t="shared" si="44"/>
        <v>0.84037037037037032</v>
      </c>
      <c r="K322" s="245">
        <v>0</v>
      </c>
    </row>
    <row r="323" spans="1:11" s="278" customFormat="1" ht="22.5" customHeight="1" x14ac:dyDescent="0.25">
      <c r="A323" s="38"/>
      <c r="B323" s="268"/>
      <c r="C323" s="268"/>
      <c r="D323" s="268"/>
      <c r="E323" s="268" t="s">
        <v>373</v>
      </c>
      <c r="F323" s="21" t="s">
        <v>372</v>
      </c>
      <c r="G323" s="269">
        <v>1000</v>
      </c>
      <c r="H323" s="270"/>
      <c r="I323" s="245">
        <v>0</v>
      </c>
      <c r="J323" s="246">
        <f t="shared" si="44"/>
        <v>0</v>
      </c>
      <c r="K323" s="13">
        <v>0</v>
      </c>
    </row>
    <row r="324" spans="1:11" ht="23.25" customHeight="1" x14ac:dyDescent="0.25">
      <c r="A324" s="38"/>
      <c r="B324" s="20"/>
      <c r="C324" s="416" t="s">
        <v>158</v>
      </c>
      <c r="D324" s="416"/>
      <c r="E324" s="27"/>
      <c r="F324" s="28" t="s">
        <v>159</v>
      </c>
      <c r="G324" s="417">
        <f>SUM(G325+G326+G327+G328+G329+G330+G331)</f>
        <v>833074</v>
      </c>
      <c r="H324" s="418"/>
      <c r="I324" s="33">
        <f>SUM(I325+I326+I327+I328+I329+I330+I331)</f>
        <v>330123.62000000005</v>
      </c>
      <c r="J324" s="29">
        <f t="shared" si="44"/>
        <v>0.39627166374175649</v>
      </c>
      <c r="K324" s="14">
        <f>SUM(K328:K330)</f>
        <v>0</v>
      </c>
    </row>
    <row r="325" spans="1:11" s="367" customFormat="1" ht="23.25" customHeight="1" x14ac:dyDescent="0.25">
      <c r="A325" s="38"/>
      <c r="B325" s="20"/>
      <c r="C325" s="361"/>
      <c r="D325" s="361"/>
      <c r="E325" s="34" t="s">
        <v>62</v>
      </c>
      <c r="F325" s="35" t="s">
        <v>63</v>
      </c>
      <c r="G325" s="420">
        <v>2000</v>
      </c>
      <c r="H325" s="421"/>
      <c r="I325" s="36">
        <v>336</v>
      </c>
      <c r="J325" s="37">
        <f t="shared" si="44"/>
        <v>0.16800000000000001</v>
      </c>
      <c r="K325" s="245">
        <v>0</v>
      </c>
    </row>
    <row r="326" spans="1:11" ht="16.95" customHeight="1" x14ac:dyDescent="0.25">
      <c r="A326" s="38"/>
      <c r="B326" s="20"/>
      <c r="C326" s="58"/>
      <c r="D326" s="58"/>
      <c r="E326" s="348" t="s">
        <v>5</v>
      </c>
      <c r="F326" s="21" t="s">
        <v>6</v>
      </c>
      <c r="G326" s="414">
        <v>287573</v>
      </c>
      <c r="H326" s="415"/>
      <c r="I326" s="245">
        <v>94754.49</v>
      </c>
      <c r="J326" s="246">
        <f t="shared" si="44"/>
        <v>0.32949717115306376</v>
      </c>
      <c r="K326" s="245">
        <v>0</v>
      </c>
    </row>
    <row r="327" spans="1:11" s="367" customFormat="1" ht="16.95" customHeight="1" x14ac:dyDescent="0.25">
      <c r="A327" s="38"/>
      <c r="B327" s="20"/>
      <c r="C327" s="361"/>
      <c r="D327" s="361"/>
      <c r="E327" s="348" t="s">
        <v>7</v>
      </c>
      <c r="F327" s="21" t="s">
        <v>8</v>
      </c>
      <c r="G327" s="414">
        <v>12351</v>
      </c>
      <c r="H327" s="415"/>
      <c r="I327" s="245">
        <v>12350.41</v>
      </c>
      <c r="J327" s="246">
        <f t="shared" si="44"/>
        <v>0.99995223058861626</v>
      </c>
      <c r="K327" s="245">
        <v>0</v>
      </c>
    </row>
    <row r="328" spans="1:11" ht="15" customHeight="1" x14ac:dyDescent="0.25">
      <c r="A328" s="38"/>
      <c r="B328" s="98"/>
      <c r="C328" s="413"/>
      <c r="D328" s="413"/>
      <c r="E328" s="111" t="s">
        <v>9</v>
      </c>
      <c r="F328" s="21" t="s">
        <v>10</v>
      </c>
      <c r="G328" s="414">
        <v>118744</v>
      </c>
      <c r="H328" s="415"/>
      <c r="I328" s="22">
        <v>47461.65</v>
      </c>
      <c r="J328" s="23">
        <f t="shared" si="44"/>
        <v>0.39969724786094457</v>
      </c>
      <c r="K328" s="22">
        <v>0</v>
      </c>
    </row>
    <row r="329" spans="1:11" ht="24.6" customHeight="1" x14ac:dyDescent="0.25">
      <c r="A329" s="38"/>
      <c r="B329" s="98"/>
      <c r="C329" s="98"/>
      <c r="D329" s="98"/>
      <c r="E329" s="98" t="s">
        <v>21</v>
      </c>
      <c r="F329" s="9" t="s">
        <v>371</v>
      </c>
      <c r="G329" s="169">
        <v>6939</v>
      </c>
      <c r="H329" s="170"/>
      <c r="I329" s="22">
        <v>2581.1999999999998</v>
      </c>
      <c r="J329" s="23">
        <f t="shared" si="44"/>
        <v>0.37198443579766532</v>
      </c>
      <c r="K329" s="22">
        <v>0</v>
      </c>
    </row>
    <row r="330" spans="1:11" ht="17.100000000000001" customHeight="1" x14ac:dyDescent="0.25">
      <c r="A330" s="38"/>
      <c r="B330" s="98"/>
      <c r="C330" s="413"/>
      <c r="D330" s="413"/>
      <c r="E330" s="98" t="s">
        <v>22</v>
      </c>
      <c r="F330" s="21" t="s">
        <v>23</v>
      </c>
      <c r="G330" s="414">
        <v>397152</v>
      </c>
      <c r="H330" s="473"/>
      <c r="I330" s="245">
        <v>166611.6</v>
      </c>
      <c r="J330" s="246">
        <f t="shared" si="44"/>
        <v>0.41951595358955768</v>
      </c>
      <c r="K330" s="245">
        <v>0</v>
      </c>
    </row>
    <row r="331" spans="1:11" s="278" customFormat="1" ht="25.8" customHeight="1" x14ac:dyDescent="0.25">
      <c r="A331" s="38"/>
      <c r="B331" s="274"/>
      <c r="C331" s="65"/>
      <c r="D331" s="42"/>
      <c r="E331" s="268" t="s">
        <v>11</v>
      </c>
      <c r="F331" s="21" t="s">
        <v>12</v>
      </c>
      <c r="G331" s="363">
        <v>8315</v>
      </c>
      <c r="H331" s="364"/>
      <c r="I331" s="13">
        <v>6028.27</v>
      </c>
      <c r="J331" s="26">
        <f t="shared" si="44"/>
        <v>0.72498737221888154</v>
      </c>
      <c r="K331" s="13">
        <v>0</v>
      </c>
    </row>
    <row r="332" spans="1:11" ht="17.100000000000001" customHeight="1" x14ac:dyDescent="0.25">
      <c r="A332" s="38"/>
      <c r="B332" s="71"/>
      <c r="C332" s="97" t="s">
        <v>315</v>
      </c>
      <c r="D332" s="97"/>
      <c r="E332" s="97"/>
      <c r="F332" s="85" t="s">
        <v>316</v>
      </c>
      <c r="G332" s="202">
        <f>SUM(G333)</f>
        <v>230018</v>
      </c>
      <c r="H332" s="202">
        <f t="shared" ref="H332:I332" si="45">SUM(H333)</f>
        <v>0</v>
      </c>
      <c r="I332" s="202">
        <f t="shared" si="45"/>
        <v>121205.4</v>
      </c>
      <c r="J332" s="41">
        <f t="shared" si="44"/>
        <v>0.52693876131433193</v>
      </c>
      <c r="K332" s="14">
        <f>SUM(K333)</f>
        <v>0</v>
      </c>
    </row>
    <row r="333" spans="1:11" ht="17.100000000000001" customHeight="1" x14ac:dyDescent="0.25">
      <c r="A333" s="38"/>
      <c r="B333" s="98"/>
      <c r="C333" s="98"/>
      <c r="D333" s="98"/>
      <c r="E333" s="24" t="s">
        <v>135</v>
      </c>
      <c r="F333" s="82" t="s">
        <v>136</v>
      </c>
      <c r="G333" s="198">
        <v>230018</v>
      </c>
      <c r="H333" s="199"/>
      <c r="I333" s="13">
        <v>121205.4</v>
      </c>
      <c r="J333" s="41">
        <f t="shared" si="44"/>
        <v>0.52693876131433193</v>
      </c>
      <c r="K333" s="13">
        <v>0</v>
      </c>
    </row>
    <row r="334" spans="1:11" ht="17.100000000000001" customHeight="1" x14ac:dyDescent="0.25">
      <c r="A334" s="38"/>
      <c r="B334" s="20"/>
      <c r="C334" s="474" t="s">
        <v>160</v>
      </c>
      <c r="D334" s="474"/>
      <c r="E334" s="252"/>
      <c r="F334" s="28" t="s">
        <v>20</v>
      </c>
      <c r="G334" s="417">
        <f>SUM(G335+G336+G337+G338+G339+G340)</f>
        <v>992340</v>
      </c>
      <c r="H334" s="418"/>
      <c r="I334" s="33">
        <f>SUM(I335+I336+I337+I338+I339+I340)</f>
        <v>908858.91999999993</v>
      </c>
      <c r="J334" s="29">
        <f t="shared" si="44"/>
        <v>0.91587451881411608</v>
      </c>
      <c r="K334" s="14">
        <f>SUM(K335+K336+K337+K338+K339+K340)</f>
        <v>1192.5</v>
      </c>
    </row>
    <row r="335" spans="1:11" s="367" customFormat="1" ht="17.100000000000001" customHeight="1" x14ac:dyDescent="0.25">
      <c r="A335" s="38"/>
      <c r="B335" s="20"/>
      <c r="C335" s="369"/>
      <c r="D335" s="369"/>
      <c r="E335" s="348" t="s">
        <v>135</v>
      </c>
      <c r="F335" s="21" t="s">
        <v>136</v>
      </c>
      <c r="G335" s="414">
        <v>940824</v>
      </c>
      <c r="H335" s="415"/>
      <c r="I335" s="245">
        <v>877458.1</v>
      </c>
      <c r="J335" s="246">
        <f t="shared" si="44"/>
        <v>0.93264850811628952</v>
      </c>
      <c r="K335" s="245">
        <v>0</v>
      </c>
    </row>
    <row r="336" spans="1:11" s="367" customFormat="1" ht="17.100000000000001" customHeight="1" x14ac:dyDescent="0.25">
      <c r="A336" s="38"/>
      <c r="B336" s="20"/>
      <c r="C336" s="361"/>
      <c r="D336" s="361"/>
      <c r="E336" s="348" t="s">
        <v>5</v>
      </c>
      <c r="F336" s="21" t="s">
        <v>6</v>
      </c>
      <c r="G336" s="414">
        <v>4251</v>
      </c>
      <c r="H336" s="415"/>
      <c r="I336" s="245">
        <v>2800</v>
      </c>
      <c r="J336" s="246">
        <f t="shared" ref="J336:J344" si="46">I336/G336</f>
        <v>0.65866854857680546</v>
      </c>
      <c r="K336" s="245">
        <v>0</v>
      </c>
    </row>
    <row r="337" spans="1:18" s="367" customFormat="1" ht="17.100000000000001" customHeight="1" x14ac:dyDescent="0.25">
      <c r="A337" s="38"/>
      <c r="B337" s="20"/>
      <c r="C337" s="361"/>
      <c r="D337" s="361"/>
      <c r="E337" s="348" t="s">
        <v>9</v>
      </c>
      <c r="F337" s="21" t="s">
        <v>10</v>
      </c>
      <c r="G337" s="414">
        <v>847</v>
      </c>
      <c r="H337" s="415"/>
      <c r="I337" s="245">
        <v>486.36</v>
      </c>
      <c r="J337" s="246">
        <f t="shared" si="46"/>
        <v>0.57421487603305787</v>
      </c>
      <c r="K337" s="245">
        <v>0</v>
      </c>
    </row>
    <row r="338" spans="1:18" s="367" customFormat="1" ht="24.6" customHeight="1" x14ac:dyDescent="0.25">
      <c r="A338" s="38"/>
      <c r="B338" s="20"/>
      <c r="C338" s="361"/>
      <c r="D338" s="361"/>
      <c r="E338" s="348" t="s">
        <v>21</v>
      </c>
      <c r="F338" s="9" t="s">
        <v>371</v>
      </c>
      <c r="G338" s="350">
        <v>119</v>
      </c>
      <c r="H338" s="351"/>
      <c r="I338" s="245">
        <v>68.61</v>
      </c>
      <c r="J338" s="246">
        <f t="shared" si="46"/>
        <v>0.57655462184873951</v>
      </c>
      <c r="K338" s="245">
        <v>0</v>
      </c>
    </row>
    <row r="339" spans="1:18" s="367" customFormat="1" ht="17.100000000000001" customHeight="1" x14ac:dyDescent="0.25">
      <c r="A339" s="38"/>
      <c r="B339" s="20"/>
      <c r="C339" s="361"/>
      <c r="D339" s="361"/>
      <c r="E339" s="348" t="s">
        <v>24</v>
      </c>
      <c r="F339" s="21" t="s">
        <v>25</v>
      </c>
      <c r="G339" s="414">
        <v>1000</v>
      </c>
      <c r="H339" s="415"/>
      <c r="I339" s="245">
        <v>1000</v>
      </c>
      <c r="J339" s="246">
        <f t="shared" si="46"/>
        <v>1</v>
      </c>
      <c r="K339" s="245">
        <v>0</v>
      </c>
    </row>
    <row r="340" spans="1:18" s="367" customFormat="1" ht="17.100000000000001" customHeight="1" x14ac:dyDescent="0.25">
      <c r="A340" s="38"/>
      <c r="B340" s="20"/>
      <c r="C340" s="361"/>
      <c r="D340" s="361"/>
      <c r="E340" s="348" t="s">
        <v>26</v>
      </c>
      <c r="F340" s="21" t="s">
        <v>27</v>
      </c>
      <c r="G340" s="414">
        <v>45299</v>
      </c>
      <c r="H340" s="415"/>
      <c r="I340" s="245">
        <v>27045.85</v>
      </c>
      <c r="J340" s="246">
        <f t="shared" si="46"/>
        <v>0.59705181129826257</v>
      </c>
      <c r="K340" s="245">
        <v>1192.5</v>
      </c>
    </row>
    <row r="341" spans="1:18" s="367" customFormat="1" ht="23.4" customHeight="1" thickBot="1" x14ac:dyDescent="0.3">
      <c r="A341" s="38"/>
      <c r="B341" s="365" t="s">
        <v>413</v>
      </c>
      <c r="C341" s="430"/>
      <c r="D341" s="430"/>
      <c r="E341" s="365"/>
      <c r="F341" s="93" t="s">
        <v>415</v>
      </c>
      <c r="G341" s="422">
        <f>SUM(G342)</f>
        <v>59455</v>
      </c>
      <c r="H341" s="423"/>
      <c r="I341" s="16">
        <f>SUM(I342)</f>
        <v>0</v>
      </c>
      <c r="J341" s="19">
        <f t="shared" si="46"/>
        <v>0</v>
      </c>
      <c r="K341" s="16">
        <v>0</v>
      </c>
    </row>
    <row r="342" spans="1:18" s="367" customFormat="1" ht="17.100000000000001" customHeight="1" thickTop="1" x14ac:dyDescent="0.25">
      <c r="A342" s="38"/>
      <c r="B342" s="20"/>
      <c r="C342" s="419" t="s">
        <v>414</v>
      </c>
      <c r="D342" s="419"/>
      <c r="E342" s="39"/>
      <c r="F342" s="40" t="s">
        <v>20</v>
      </c>
      <c r="G342" s="424">
        <f>SUM(G343+G344)</f>
        <v>59455</v>
      </c>
      <c r="H342" s="425"/>
      <c r="I342" s="14">
        <f>SUM(I343+I344)</f>
        <v>0</v>
      </c>
      <c r="J342" s="41">
        <f t="shared" si="46"/>
        <v>0</v>
      </c>
      <c r="K342" s="14">
        <v>0</v>
      </c>
    </row>
    <row r="343" spans="1:18" s="367" customFormat="1" ht="17.100000000000001" customHeight="1" x14ac:dyDescent="0.25">
      <c r="A343" s="38"/>
      <c r="B343" s="348"/>
      <c r="C343" s="413"/>
      <c r="D343" s="413"/>
      <c r="E343" s="34" t="s">
        <v>394</v>
      </c>
      <c r="F343" s="35" t="s">
        <v>25</v>
      </c>
      <c r="G343" s="420">
        <v>57500</v>
      </c>
      <c r="H343" s="421"/>
      <c r="I343" s="36">
        <v>0</v>
      </c>
      <c r="J343" s="37">
        <f t="shared" si="46"/>
        <v>0</v>
      </c>
      <c r="K343" s="36">
        <v>0</v>
      </c>
    </row>
    <row r="344" spans="1:18" s="367" customFormat="1" ht="17.100000000000001" customHeight="1" x14ac:dyDescent="0.25">
      <c r="A344" s="38"/>
      <c r="B344" s="20"/>
      <c r="C344" s="361"/>
      <c r="D344" s="361"/>
      <c r="E344" s="348" t="s">
        <v>416</v>
      </c>
      <c r="F344" s="21" t="s">
        <v>29</v>
      </c>
      <c r="G344" s="350">
        <v>1955</v>
      </c>
      <c r="H344" s="351"/>
      <c r="I344" s="245">
        <v>0</v>
      </c>
      <c r="J344" s="246">
        <f t="shared" si="46"/>
        <v>0</v>
      </c>
      <c r="K344" s="245">
        <v>0</v>
      </c>
    </row>
    <row r="345" spans="1:18" ht="14.4" customHeight="1" thickBot="1" x14ac:dyDescent="0.3">
      <c r="A345" s="38"/>
      <c r="B345" s="237" t="s">
        <v>161</v>
      </c>
      <c r="C345" s="430"/>
      <c r="D345" s="430"/>
      <c r="E345" s="237"/>
      <c r="F345" s="93" t="s">
        <v>162</v>
      </c>
      <c r="G345" s="422">
        <f>SUM(G346)</f>
        <v>222000</v>
      </c>
      <c r="H345" s="423"/>
      <c r="I345" s="16">
        <f>SUM(I346)</f>
        <v>191074</v>
      </c>
      <c r="J345" s="19">
        <f t="shared" si="44"/>
        <v>0.86069369369369364</v>
      </c>
      <c r="K345" s="16">
        <v>0</v>
      </c>
    </row>
    <row r="346" spans="1:18" ht="22.2" customHeight="1" thickTop="1" x14ac:dyDescent="0.25">
      <c r="A346" s="38"/>
      <c r="B346" s="20"/>
      <c r="C346" s="419" t="s">
        <v>163</v>
      </c>
      <c r="D346" s="419"/>
      <c r="E346" s="39"/>
      <c r="F346" s="40" t="s">
        <v>317</v>
      </c>
      <c r="G346" s="424">
        <f>SUM(G347)</f>
        <v>222000</v>
      </c>
      <c r="H346" s="425"/>
      <c r="I346" s="14">
        <f>SUM(I347)</f>
        <v>191074</v>
      </c>
      <c r="J346" s="41">
        <f t="shared" si="44"/>
        <v>0.86069369369369364</v>
      </c>
      <c r="K346" s="14">
        <v>0</v>
      </c>
    </row>
    <row r="347" spans="1:18" ht="17.100000000000001" customHeight="1" x14ac:dyDescent="0.25">
      <c r="A347" s="38"/>
      <c r="B347" s="348"/>
      <c r="C347" s="413"/>
      <c r="D347" s="453"/>
      <c r="E347" s="34" t="s">
        <v>77</v>
      </c>
      <c r="F347" s="35" t="s">
        <v>78</v>
      </c>
      <c r="G347" s="420">
        <v>222000</v>
      </c>
      <c r="H347" s="421"/>
      <c r="I347" s="36">
        <v>191074</v>
      </c>
      <c r="J347" s="37">
        <f t="shared" si="44"/>
        <v>0.86069369369369364</v>
      </c>
      <c r="K347" s="36">
        <v>0</v>
      </c>
      <c r="L347" s="367"/>
      <c r="M347" s="367"/>
      <c r="N347" s="367"/>
      <c r="O347" s="367"/>
      <c r="P347" s="367"/>
      <c r="Q347" s="367"/>
      <c r="R347" s="367"/>
    </row>
    <row r="348" spans="1:18" s="367" customFormat="1" ht="17.100000000000001" customHeight="1" x14ac:dyDescent="0.25">
      <c r="A348" s="38"/>
      <c r="B348" s="43" t="s">
        <v>199</v>
      </c>
      <c r="C348" s="43" t="s">
        <v>200</v>
      </c>
      <c r="D348" s="43"/>
      <c r="E348" s="43" t="s">
        <v>201</v>
      </c>
      <c r="F348" s="43" t="s">
        <v>202</v>
      </c>
      <c r="G348" s="57" t="s">
        <v>203</v>
      </c>
      <c r="H348" s="57"/>
      <c r="I348" s="44" t="s">
        <v>204</v>
      </c>
      <c r="J348" s="44" t="s">
        <v>205</v>
      </c>
      <c r="K348" s="44" t="s">
        <v>206</v>
      </c>
    </row>
    <row r="349" spans="1:18" ht="13.95" customHeight="1" thickBot="1" x14ac:dyDescent="0.3">
      <c r="A349" s="38"/>
      <c r="B349" s="368" t="s">
        <v>318</v>
      </c>
      <c r="C349" s="368"/>
      <c r="D349" s="287"/>
      <c r="E349" s="288"/>
      <c r="F349" s="18" t="s">
        <v>320</v>
      </c>
      <c r="G349" s="284">
        <f>G350+G360++G374+G383+G385+G387+G372+G389+G407</f>
        <v>12520027.750000002</v>
      </c>
      <c r="H349" s="357">
        <f t="shared" ref="H349:I349" si="47">H350+H360++H374+H383+H385+H387+H372+H389+H407</f>
        <v>5488782</v>
      </c>
      <c r="I349" s="357">
        <f t="shared" si="47"/>
        <v>8831950.8999999985</v>
      </c>
      <c r="J349" s="19">
        <f>SUM(I349/G349)</f>
        <v>0.70542582463525272</v>
      </c>
      <c r="K349" s="10">
        <f>K350+K360+K374+K372+K389+K383+K385+K387</f>
        <v>1356.8</v>
      </c>
    </row>
    <row r="350" spans="1:18" ht="14.4" customHeight="1" thickTop="1" x14ac:dyDescent="0.25">
      <c r="A350" s="38"/>
      <c r="B350" s="98"/>
      <c r="C350" s="68" t="s">
        <v>319</v>
      </c>
      <c r="D350" s="68"/>
      <c r="E350" s="68"/>
      <c r="F350" s="69" t="s">
        <v>321</v>
      </c>
      <c r="G350" s="203">
        <f>SUM(G351+G352+G353+G354+G355+G356+G357+G358+G359)</f>
        <v>4834776</v>
      </c>
      <c r="H350" s="358">
        <f t="shared" ref="H350:I350" si="48">SUM(H351+H352+H353+H354+H355+H356+H357+H358+H359)</f>
        <v>0</v>
      </c>
      <c r="I350" s="358">
        <f t="shared" si="48"/>
        <v>4833602.54</v>
      </c>
      <c r="J350" s="86">
        <f>SUM(I350/G350)</f>
        <v>0.99975728761787519</v>
      </c>
      <c r="K350" s="53">
        <f>SUM(K351:K359)</f>
        <v>0</v>
      </c>
    </row>
    <row r="351" spans="1:18" ht="66.599999999999994" customHeight="1" x14ac:dyDescent="0.25">
      <c r="A351" s="38"/>
      <c r="B351" s="98"/>
      <c r="C351" s="98"/>
      <c r="D351" s="98"/>
      <c r="E351" s="87" t="s">
        <v>142</v>
      </c>
      <c r="F351" s="88" t="s">
        <v>270</v>
      </c>
      <c r="G351" s="204">
        <v>1000</v>
      </c>
      <c r="H351" s="170"/>
      <c r="I351" s="22">
        <v>500</v>
      </c>
      <c r="J351" s="37">
        <f>SUM(I351/G351)</f>
        <v>0.5</v>
      </c>
      <c r="K351" s="22">
        <v>0</v>
      </c>
    </row>
    <row r="352" spans="1:18" ht="17.100000000000001" customHeight="1" x14ac:dyDescent="0.25">
      <c r="A352" s="38"/>
      <c r="B352" s="98"/>
      <c r="C352" s="98"/>
      <c r="D352" s="98"/>
      <c r="E352" s="98" t="s">
        <v>135</v>
      </c>
      <c r="F352" s="21" t="s">
        <v>136</v>
      </c>
      <c r="G352" s="184">
        <v>4782740.75</v>
      </c>
      <c r="H352" s="170"/>
      <c r="I352" s="22">
        <v>4782740.75</v>
      </c>
      <c r="J352" s="23">
        <f t="shared" ref="J352:J359" si="49">I352/G352</f>
        <v>1</v>
      </c>
      <c r="K352" s="22">
        <v>0</v>
      </c>
    </row>
    <row r="353" spans="1:11" ht="17.100000000000001" customHeight="1" x14ac:dyDescent="0.25">
      <c r="A353" s="38"/>
      <c r="B353" s="98"/>
      <c r="C353" s="98"/>
      <c r="D353" s="98"/>
      <c r="E353" s="98" t="s">
        <v>5</v>
      </c>
      <c r="F353" s="21" t="s">
        <v>6</v>
      </c>
      <c r="G353" s="184">
        <v>30050.26</v>
      </c>
      <c r="H353" s="170"/>
      <c r="I353" s="184">
        <v>30050</v>
      </c>
      <c r="J353" s="23">
        <f t="shared" si="49"/>
        <v>0.99999134782860455</v>
      </c>
      <c r="K353" s="22">
        <v>0</v>
      </c>
    </row>
    <row r="354" spans="1:11" ht="17.100000000000001" customHeight="1" x14ac:dyDescent="0.25">
      <c r="A354" s="38"/>
      <c r="B354" s="98"/>
      <c r="C354" s="98"/>
      <c r="D354" s="98"/>
      <c r="E354" s="98" t="s">
        <v>7</v>
      </c>
      <c r="F354" s="21" t="s">
        <v>8</v>
      </c>
      <c r="G354" s="184">
        <v>5826.64</v>
      </c>
      <c r="H354" s="170"/>
      <c r="I354" s="184">
        <v>5826.64</v>
      </c>
      <c r="J354" s="23">
        <f t="shared" si="49"/>
        <v>1</v>
      </c>
      <c r="K354" s="22">
        <v>0</v>
      </c>
    </row>
    <row r="355" spans="1:11" ht="17.100000000000001" customHeight="1" x14ac:dyDescent="0.25">
      <c r="A355" s="38"/>
      <c r="B355" s="98"/>
      <c r="C355" s="98"/>
      <c r="D355" s="98"/>
      <c r="E355" s="98" t="s">
        <v>9</v>
      </c>
      <c r="F355" s="21" t="s">
        <v>10</v>
      </c>
      <c r="G355" s="184">
        <v>6249.65</v>
      </c>
      <c r="H355" s="170"/>
      <c r="I355" s="184">
        <v>6249.65</v>
      </c>
      <c r="J355" s="23">
        <f t="shared" si="49"/>
        <v>1</v>
      </c>
      <c r="K355" s="22">
        <v>0</v>
      </c>
    </row>
    <row r="356" spans="1:11" ht="24.6" customHeight="1" x14ac:dyDescent="0.25">
      <c r="A356" s="38"/>
      <c r="B356" s="98"/>
      <c r="C356" s="98"/>
      <c r="D356" s="98"/>
      <c r="E356" s="98" t="s">
        <v>21</v>
      </c>
      <c r="F356" s="21" t="s">
        <v>371</v>
      </c>
      <c r="G356" s="184">
        <v>878.99</v>
      </c>
      <c r="H356" s="170"/>
      <c r="I356" s="184">
        <v>878.99</v>
      </c>
      <c r="J356" s="23">
        <f t="shared" si="49"/>
        <v>1</v>
      </c>
      <c r="K356" s="22">
        <v>0</v>
      </c>
    </row>
    <row r="357" spans="1:11" ht="17.100000000000001" customHeight="1" x14ac:dyDescent="0.25">
      <c r="A357" s="38"/>
      <c r="B357" s="98"/>
      <c r="C357" s="98"/>
      <c r="D357" s="98"/>
      <c r="E357" s="98" t="s">
        <v>26</v>
      </c>
      <c r="F357" s="21" t="s">
        <v>27</v>
      </c>
      <c r="G357" s="184">
        <v>6836.81</v>
      </c>
      <c r="H357" s="170"/>
      <c r="I357" s="184">
        <v>6629.31</v>
      </c>
      <c r="J357" s="23">
        <f t="shared" si="49"/>
        <v>0.96964958803886603</v>
      </c>
      <c r="K357" s="22">
        <v>0</v>
      </c>
    </row>
    <row r="358" spans="1:11" ht="21.6" customHeight="1" x14ac:dyDescent="0.25">
      <c r="A358" s="38"/>
      <c r="B358" s="98"/>
      <c r="C358" s="98"/>
      <c r="D358" s="98"/>
      <c r="E358" s="98" t="s">
        <v>11</v>
      </c>
      <c r="F358" s="21" t="s">
        <v>12</v>
      </c>
      <c r="G358" s="184">
        <v>692.9</v>
      </c>
      <c r="H358" s="170"/>
      <c r="I358" s="184">
        <v>692.9</v>
      </c>
      <c r="J358" s="23">
        <f t="shared" si="49"/>
        <v>1</v>
      </c>
      <c r="K358" s="22">
        <v>0</v>
      </c>
    </row>
    <row r="359" spans="1:11" ht="13.95" customHeight="1" x14ac:dyDescent="0.25">
      <c r="A359" s="38"/>
      <c r="B359" s="98"/>
      <c r="C359" s="98"/>
      <c r="D359" s="98"/>
      <c r="E359" s="74" t="s">
        <v>104</v>
      </c>
      <c r="F359" s="89" t="s">
        <v>105</v>
      </c>
      <c r="G359" s="184">
        <v>500</v>
      </c>
      <c r="H359" s="170"/>
      <c r="I359" s="184">
        <v>34.299999999999997</v>
      </c>
      <c r="J359" s="23">
        <f t="shared" si="49"/>
        <v>6.8599999999999994E-2</v>
      </c>
      <c r="K359" s="22">
        <v>0</v>
      </c>
    </row>
    <row r="360" spans="1:11" ht="47.4" customHeight="1" x14ac:dyDescent="0.25">
      <c r="A360" s="38"/>
      <c r="B360" s="20"/>
      <c r="C360" s="416" t="s">
        <v>322</v>
      </c>
      <c r="D360" s="416"/>
      <c r="E360" s="27"/>
      <c r="F360" s="28" t="s">
        <v>141</v>
      </c>
      <c r="G360" s="205">
        <f>SUM(G361+G362+G363+G364+G365+G367+G368+G369+G370+G366+G371)</f>
        <v>6303300</v>
      </c>
      <c r="H360" s="205">
        <f t="shared" ref="H360:I360" si="50">SUM(H361+H362+H363+H364+H365+H367+H368+H369+H370+H366+H371)</f>
        <v>5488782</v>
      </c>
      <c r="I360" s="205">
        <f t="shared" si="50"/>
        <v>3319470.2499999995</v>
      </c>
      <c r="J360" s="29">
        <f>SUM(I360/G360)</f>
        <v>0.52662418891691642</v>
      </c>
      <c r="K360" s="33">
        <f>SUM(K361:K370)</f>
        <v>0</v>
      </c>
    </row>
    <row r="361" spans="1:11" ht="63" customHeight="1" x14ac:dyDescent="0.25">
      <c r="A361" s="38"/>
      <c r="B361" s="98"/>
      <c r="C361" s="413"/>
      <c r="D361" s="413"/>
      <c r="E361" s="34" t="s">
        <v>142</v>
      </c>
      <c r="F361" s="35" t="s">
        <v>420</v>
      </c>
      <c r="G361" s="206">
        <v>3347</v>
      </c>
      <c r="H361" s="185" t="s">
        <v>73</v>
      </c>
      <c r="I361" s="36">
        <v>3347</v>
      </c>
      <c r="J361" s="37">
        <f>I361/G361</f>
        <v>1</v>
      </c>
      <c r="K361" s="22">
        <v>0</v>
      </c>
    </row>
    <row r="362" spans="1:11" ht="17.100000000000001" customHeight="1" x14ac:dyDescent="0.25">
      <c r="A362" s="38"/>
      <c r="B362" s="98"/>
      <c r="C362" s="413"/>
      <c r="D362" s="413"/>
      <c r="E362" s="98" t="s">
        <v>135</v>
      </c>
      <c r="F362" s="21" t="s">
        <v>136</v>
      </c>
      <c r="G362" s="184">
        <v>5643996</v>
      </c>
      <c r="H362" s="185" t="s">
        <v>323</v>
      </c>
      <c r="I362" s="22">
        <v>2930543.91</v>
      </c>
      <c r="J362" s="23">
        <f>I362/G362</f>
        <v>0.51923210257413366</v>
      </c>
      <c r="K362" s="22">
        <v>0</v>
      </c>
    </row>
    <row r="363" spans="1:11" ht="17.100000000000001" customHeight="1" x14ac:dyDescent="0.25">
      <c r="A363" s="38"/>
      <c r="B363" s="98"/>
      <c r="C363" s="413"/>
      <c r="D363" s="413"/>
      <c r="E363" s="98" t="s">
        <v>5</v>
      </c>
      <c r="F363" s="21" t="s">
        <v>6</v>
      </c>
      <c r="G363" s="184">
        <v>184961</v>
      </c>
      <c r="H363" s="185" t="s">
        <v>324</v>
      </c>
      <c r="I363" s="22">
        <v>86411.25</v>
      </c>
      <c r="J363" s="23">
        <f>I363/G363</f>
        <v>0.4671863257659723</v>
      </c>
      <c r="K363" s="22">
        <v>0</v>
      </c>
    </row>
    <row r="364" spans="1:11" ht="17.100000000000001" customHeight="1" x14ac:dyDescent="0.25">
      <c r="A364" s="38"/>
      <c r="B364" s="98"/>
      <c r="C364" s="413"/>
      <c r="D364" s="413"/>
      <c r="E364" s="98" t="s">
        <v>7</v>
      </c>
      <c r="F364" s="21" t="s">
        <v>8</v>
      </c>
      <c r="G364" s="184">
        <v>11024</v>
      </c>
      <c r="H364" s="185" t="s">
        <v>325</v>
      </c>
      <c r="I364" s="22">
        <v>10916.38</v>
      </c>
      <c r="J364" s="23">
        <f>I364/G364</f>
        <v>0.99023766328011609</v>
      </c>
      <c r="K364" s="22">
        <v>0</v>
      </c>
    </row>
    <row r="365" spans="1:11" ht="17.100000000000001" customHeight="1" x14ac:dyDescent="0.25">
      <c r="A365" s="38"/>
      <c r="B365" s="98"/>
      <c r="C365" s="413"/>
      <c r="D365" s="413"/>
      <c r="E365" s="98" t="s">
        <v>9</v>
      </c>
      <c r="F365" s="21" t="s">
        <v>10</v>
      </c>
      <c r="G365" s="184">
        <v>437180</v>
      </c>
      <c r="H365" s="185" t="s">
        <v>326</v>
      </c>
      <c r="I365" s="22">
        <v>272518.65000000002</v>
      </c>
      <c r="J365" s="23">
        <f t="shared" ref="J365:J371" si="51">I365/G365</f>
        <v>0.6233557116062034</v>
      </c>
      <c r="K365" s="22">
        <v>0</v>
      </c>
    </row>
    <row r="366" spans="1:11" s="367" customFormat="1" ht="24" customHeight="1" x14ac:dyDescent="0.25">
      <c r="A366" s="38"/>
      <c r="B366" s="348"/>
      <c r="C366" s="348"/>
      <c r="D366" s="348"/>
      <c r="E366" s="348" t="s">
        <v>21</v>
      </c>
      <c r="F366" s="21" t="s">
        <v>371</v>
      </c>
      <c r="G366" s="184">
        <v>1250</v>
      </c>
      <c r="H366" s="351"/>
      <c r="I366" s="184">
        <v>46.78</v>
      </c>
      <c r="J366" s="246">
        <f t="shared" si="51"/>
        <v>3.7423999999999999E-2</v>
      </c>
      <c r="K366" s="245">
        <v>0</v>
      </c>
    </row>
    <row r="367" spans="1:11" ht="17.399999999999999" customHeight="1" x14ac:dyDescent="0.25">
      <c r="A367" s="38"/>
      <c r="B367" s="98"/>
      <c r="C367" s="413"/>
      <c r="D367" s="413"/>
      <c r="E367" s="285" t="s">
        <v>24</v>
      </c>
      <c r="F367" s="21" t="s">
        <v>25</v>
      </c>
      <c r="G367" s="184">
        <v>3000</v>
      </c>
      <c r="H367" s="185" t="s">
        <v>271</v>
      </c>
      <c r="I367" s="22">
        <v>1406.28</v>
      </c>
      <c r="J367" s="23">
        <f t="shared" si="51"/>
        <v>0.46876000000000001</v>
      </c>
      <c r="K367" s="22">
        <v>0</v>
      </c>
    </row>
    <row r="368" spans="1:11" ht="17.100000000000001" customHeight="1" x14ac:dyDescent="0.25">
      <c r="A368" s="38"/>
      <c r="B368" s="98"/>
      <c r="C368" s="98"/>
      <c r="D368" s="98"/>
      <c r="E368" s="285" t="s">
        <v>26</v>
      </c>
      <c r="F368" s="21" t="s">
        <v>27</v>
      </c>
      <c r="G368" s="184">
        <v>12300</v>
      </c>
      <c r="H368" s="206" t="s">
        <v>216</v>
      </c>
      <c r="I368" s="22">
        <v>10464.030000000001</v>
      </c>
      <c r="J368" s="23">
        <f t="shared" si="51"/>
        <v>0.85073414634146349</v>
      </c>
      <c r="K368" s="22">
        <v>0</v>
      </c>
    </row>
    <row r="369" spans="1:11" ht="19.95" customHeight="1" x14ac:dyDescent="0.25">
      <c r="A369" s="38"/>
      <c r="B369" s="98"/>
      <c r="C369" s="413"/>
      <c r="D369" s="413"/>
      <c r="E369" s="98" t="s">
        <v>11</v>
      </c>
      <c r="F369" s="21" t="s">
        <v>12</v>
      </c>
      <c r="G369" s="184">
        <v>4989</v>
      </c>
      <c r="H369" s="185" t="s">
        <v>145</v>
      </c>
      <c r="I369" s="22">
        <v>3429.87</v>
      </c>
      <c r="J369" s="23">
        <f t="shared" si="51"/>
        <v>0.68748647023451592</v>
      </c>
      <c r="K369" s="22">
        <v>0</v>
      </c>
    </row>
    <row r="370" spans="1:11" ht="17.100000000000001" customHeight="1" x14ac:dyDescent="0.25">
      <c r="A370" s="38"/>
      <c r="B370" s="98"/>
      <c r="C370" s="413"/>
      <c r="D370" s="413"/>
      <c r="E370" s="111" t="s">
        <v>104</v>
      </c>
      <c r="F370" s="21" t="s">
        <v>105</v>
      </c>
      <c r="G370" s="184">
        <v>653</v>
      </c>
      <c r="H370" s="185" t="s">
        <v>139</v>
      </c>
      <c r="I370" s="22">
        <v>386.1</v>
      </c>
      <c r="J370" s="246">
        <f t="shared" si="51"/>
        <v>0.5912710566615621</v>
      </c>
      <c r="K370" s="22">
        <v>0</v>
      </c>
    </row>
    <row r="371" spans="1:11" s="367" customFormat="1" ht="25.8" customHeight="1" x14ac:dyDescent="0.25">
      <c r="A371" s="38"/>
      <c r="B371" s="349"/>
      <c r="C371" s="121"/>
      <c r="D371" s="360"/>
      <c r="E371" s="348" t="s">
        <v>54</v>
      </c>
      <c r="F371" s="21" t="s">
        <v>55</v>
      </c>
      <c r="G371" s="184">
        <v>600</v>
      </c>
      <c r="H371" s="207"/>
      <c r="I371" s="245">
        <v>0</v>
      </c>
      <c r="J371" s="26">
        <f t="shared" si="51"/>
        <v>0</v>
      </c>
      <c r="K371" s="13">
        <v>0</v>
      </c>
    </row>
    <row r="372" spans="1:11" ht="17.100000000000001" customHeight="1" x14ac:dyDescent="0.25">
      <c r="A372" s="38"/>
      <c r="B372" s="256"/>
      <c r="C372" s="259" t="s">
        <v>327</v>
      </c>
      <c r="D372" s="94"/>
      <c r="E372" s="261"/>
      <c r="F372" s="96" t="s">
        <v>328</v>
      </c>
      <c r="G372" s="200">
        <f>SUM(G373)</f>
        <v>426</v>
      </c>
      <c r="H372" s="200">
        <f t="shared" ref="H372:I372" si="52">SUM(H373)</f>
        <v>0</v>
      </c>
      <c r="I372" s="200">
        <f t="shared" si="52"/>
        <v>363</v>
      </c>
      <c r="J372" s="41">
        <f t="shared" ref="J372:J373" si="53">I372/G372</f>
        <v>0.852112676056338</v>
      </c>
      <c r="K372" s="260">
        <v>0</v>
      </c>
    </row>
    <row r="373" spans="1:11" ht="17.100000000000001" customHeight="1" x14ac:dyDescent="0.25">
      <c r="A373" s="38"/>
      <c r="B373" s="255"/>
      <c r="C373" s="255"/>
      <c r="D373" s="255"/>
      <c r="E373" s="34" t="s">
        <v>24</v>
      </c>
      <c r="F373" s="35" t="s">
        <v>25</v>
      </c>
      <c r="G373" s="257">
        <v>426</v>
      </c>
      <c r="H373" s="258"/>
      <c r="I373" s="36">
        <v>363</v>
      </c>
      <c r="J373" s="246">
        <f t="shared" si="53"/>
        <v>0.852112676056338</v>
      </c>
      <c r="K373" s="245">
        <v>0</v>
      </c>
    </row>
    <row r="374" spans="1:11" ht="15" customHeight="1" x14ac:dyDescent="0.25">
      <c r="A374" s="38"/>
      <c r="B374" s="20"/>
      <c r="C374" s="416" t="s">
        <v>329</v>
      </c>
      <c r="D374" s="416"/>
      <c r="E374" s="27"/>
      <c r="F374" s="28" t="s">
        <v>140</v>
      </c>
      <c r="G374" s="417">
        <f>SUM(G375+G376+G377+G378+G379+G381+G382)</f>
        <v>68195</v>
      </c>
      <c r="H374" s="418"/>
      <c r="I374" s="33">
        <f>SUM(I375+I376+I377+I378+I379+I381+I382)</f>
        <v>30417.78</v>
      </c>
      <c r="J374" s="29">
        <f t="shared" ref="J374:J382" si="54">I374/G374</f>
        <v>0.44604120536696235</v>
      </c>
      <c r="K374" s="55">
        <f>SUM(K376+K377+K378+K379+K382)</f>
        <v>0</v>
      </c>
    </row>
    <row r="375" spans="1:11" ht="23.4" customHeight="1" x14ac:dyDescent="0.25">
      <c r="A375" s="38"/>
      <c r="B375" s="20"/>
      <c r="C375" s="58"/>
      <c r="D375" s="58"/>
      <c r="E375" s="124" t="s">
        <v>62</v>
      </c>
      <c r="F375" s="35" t="s">
        <v>63</v>
      </c>
      <c r="G375" s="206">
        <v>578</v>
      </c>
      <c r="H375" s="207"/>
      <c r="I375" s="219">
        <v>72</v>
      </c>
      <c r="J375" s="220">
        <f>I375/G375</f>
        <v>0.1245674740484429</v>
      </c>
      <c r="K375" s="219">
        <v>0</v>
      </c>
    </row>
    <row r="376" spans="1:11" ht="13.95" customHeight="1" x14ac:dyDescent="0.25">
      <c r="A376" s="38"/>
      <c r="B376" s="98"/>
      <c r="C376" s="413"/>
      <c r="D376" s="413"/>
      <c r="E376" s="156" t="s">
        <v>5</v>
      </c>
      <c r="F376" s="21" t="s">
        <v>6</v>
      </c>
      <c r="G376" s="414">
        <v>46506</v>
      </c>
      <c r="H376" s="415"/>
      <c r="I376" s="22">
        <v>20601</v>
      </c>
      <c r="J376" s="23">
        <f t="shared" si="54"/>
        <v>0.44297509998709844</v>
      </c>
      <c r="K376" s="22">
        <v>0</v>
      </c>
    </row>
    <row r="377" spans="1:11" ht="15" customHeight="1" x14ac:dyDescent="0.25">
      <c r="A377" s="38"/>
      <c r="B377" s="98"/>
      <c r="C377" s="413"/>
      <c r="D377" s="413"/>
      <c r="E377" s="98" t="s">
        <v>7</v>
      </c>
      <c r="F377" s="21" t="s">
        <v>8</v>
      </c>
      <c r="G377" s="414">
        <v>3039</v>
      </c>
      <c r="H377" s="415"/>
      <c r="I377" s="22">
        <v>3008.9</v>
      </c>
      <c r="J377" s="23">
        <f t="shared" si="54"/>
        <v>0.99009542612701551</v>
      </c>
      <c r="K377" s="22">
        <v>0</v>
      </c>
    </row>
    <row r="378" spans="1:11" ht="13.95" customHeight="1" x14ac:dyDescent="0.25">
      <c r="A378" s="38"/>
      <c r="B378" s="98"/>
      <c r="C378" s="413"/>
      <c r="D378" s="413"/>
      <c r="E378" s="98" t="s">
        <v>9</v>
      </c>
      <c r="F378" s="21" t="s">
        <v>10</v>
      </c>
      <c r="G378" s="414">
        <v>10632</v>
      </c>
      <c r="H378" s="415"/>
      <c r="I378" s="22">
        <v>4109.9399999999996</v>
      </c>
      <c r="J378" s="23">
        <f t="shared" si="54"/>
        <v>0.38656320541760719</v>
      </c>
      <c r="K378" s="22">
        <v>0</v>
      </c>
    </row>
    <row r="379" spans="1:11" ht="23.4" customHeight="1" x14ac:dyDescent="0.25">
      <c r="A379" s="38"/>
      <c r="B379" s="98"/>
      <c r="C379" s="413"/>
      <c r="D379" s="413"/>
      <c r="E379" s="98" t="s">
        <v>21</v>
      </c>
      <c r="F379" s="21" t="s">
        <v>371</v>
      </c>
      <c r="G379" s="414">
        <v>1214</v>
      </c>
      <c r="H379" s="415"/>
      <c r="I379" s="22">
        <v>578.44000000000005</v>
      </c>
      <c r="J379" s="23">
        <f t="shared" si="54"/>
        <v>0.47647446457990122</v>
      </c>
      <c r="K379" s="22">
        <v>0</v>
      </c>
    </row>
    <row r="380" spans="1:11" s="367" customFormat="1" ht="19.2" customHeight="1" x14ac:dyDescent="0.25">
      <c r="A380" s="38"/>
      <c r="B380" s="43" t="s">
        <v>199</v>
      </c>
      <c r="C380" s="43" t="s">
        <v>200</v>
      </c>
      <c r="D380" s="43"/>
      <c r="E380" s="43" t="s">
        <v>201</v>
      </c>
      <c r="F380" s="43" t="s">
        <v>202</v>
      </c>
      <c r="G380" s="57" t="s">
        <v>203</v>
      </c>
      <c r="H380" s="57"/>
      <c r="I380" s="44" t="s">
        <v>204</v>
      </c>
      <c r="J380" s="44" t="s">
        <v>205</v>
      </c>
      <c r="K380" s="44" t="s">
        <v>206</v>
      </c>
    </row>
    <row r="381" spans="1:11" ht="17.399999999999999" customHeight="1" x14ac:dyDescent="0.25">
      <c r="A381" s="38"/>
      <c r="B381" s="129"/>
      <c r="C381" s="129"/>
      <c r="D381" s="129"/>
      <c r="E381" s="129" t="s">
        <v>52</v>
      </c>
      <c r="F381" s="21" t="s">
        <v>53</v>
      </c>
      <c r="G381" s="169">
        <v>2900</v>
      </c>
      <c r="H381" s="170"/>
      <c r="I381" s="22">
        <v>799.77</v>
      </c>
      <c r="J381" s="23">
        <f t="shared" si="54"/>
        <v>0.27578275862068963</v>
      </c>
      <c r="K381" s="22">
        <v>0</v>
      </c>
    </row>
    <row r="382" spans="1:11" ht="21" customHeight="1" x14ac:dyDescent="0.25">
      <c r="A382" s="38"/>
      <c r="B382" s="132"/>
      <c r="C382" s="456"/>
      <c r="D382" s="457"/>
      <c r="E382" s="64" t="s">
        <v>11</v>
      </c>
      <c r="F382" s="21" t="s">
        <v>12</v>
      </c>
      <c r="G382" s="414">
        <v>3326</v>
      </c>
      <c r="H382" s="415"/>
      <c r="I382" s="22">
        <v>1247.73</v>
      </c>
      <c r="J382" s="23">
        <f t="shared" si="54"/>
        <v>0.37514431749849669</v>
      </c>
      <c r="K382" s="22">
        <v>0</v>
      </c>
    </row>
    <row r="383" spans="1:11" ht="17.100000000000001" customHeight="1" x14ac:dyDescent="0.25">
      <c r="A383" s="38"/>
      <c r="B383" s="98"/>
      <c r="C383" s="416" t="s">
        <v>314</v>
      </c>
      <c r="D383" s="416"/>
      <c r="E383" s="27"/>
      <c r="F383" s="28" t="s">
        <v>134</v>
      </c>
      <c r="G383" s="417">
        <f>SUM(G384)</f>
        <v>42111.14</v>
      </c>
      <c r="H383" s="418"/>
      <c r="I383" s="33">
        <f>SUM(I384)</f>
        <v>15232.5</v>
      </c>
      <c r="J383" s="29">
        <f t="shared" ref="J383:J409" si="55">I383/G383</f>
        <v>0.36172138773730655</v>
      </c>
      <c r="K383" s="33">
        <v>0</v>
      </c>
    </row>
    <row r="384" spans="1:11" ht="17.100000000000001" customHeight="1" x14ac:dyDescent="0.25">
      <c r="A384" s="38"/>
      <c r="B384" s="98"/>
      <c r="C384" s="413"/>
      <c r="D384" s="413"/>
      <c r="E384" s="30" t="s">
        <v>135</v>
      </c>
      <c r="F384" s="31" t="s">
        <v>136</v>
      </c>
      <c r="G384" s="432">
        <v>42111.14</v>
      </c>
      <c r="H384" s="433"/>
      <c r="I384" s="12">
        <v>15232.5</v>
      </c>
      <c r="J384" s="32">
        <f t="shared" si="55"/>
        <v>0.36172138773730655</v>
      </c>
      <c r="K384" s="12">
        <v>0</v>
      </c>
    </row>
    <row r="385" spans="1:11" ht="24" customHeight="1" x14ac:dyDescent="0.25">
      <c r="A385" s="38"/>
      <c r="B385" s="130"/>
      <c r="C385" s="136" t="s">
        <v>356</v>
      </c>
      <c r="D385" s="94"/>
      <c r="E385" s="95"/>
      <c r="F385" s="96" t="s">
        <v>357</v>
      </c>
      <c r="G385" s="200">
        <f>SUM(G386)</f>
        <v>72731.22</v>
      </c>
      <c r="H385" s="201"/>
      <c r="I385" s="55">
        <f>SUM(I386)</f>
        <v>35579.760000000002</v>
      </c>
      <c r="J385" s="62">
        <f t="shared" si="55"/>
        <v>0.48919514893329169</v>
      </c>
      <c r="K385" s="33">
        <v>0</v>
      </c>
    </row>
    <row r="386" spans="1:11" ht="16.2" customHeight="1" x14ac:dyDescent="0.25">
      <c r="A386" s="38"/>
      <c r="B386" s="129"/>
      <c r="C386" s="129"/>
      <c r="D386" s="129"/>
      <c r="E386" s="34" t="s">
        <v>135</v>
      </c>
      <c r="F386" s="35" t="s">
        <v>136</v>
      </c>
      <c r="G386" s="208">
        <v>72731.22</v>
      </c>
      <c r="H386" s="209"/>
      <c r="I386" s="36">
        <v>35579.760000000002</v>
      </c>
      <c r="J386" s="37">
        <f t="shared" si="55"/>
        <v>0.48919514893329169</v>
      </c>
      <c r="K386" s="12">
        <v>0</v>
      </c>
    </row>
    <row r="387" spans="1:11" ht="45.6" customHeight="1" x14ac:dyDescent="0.25">
      <c r="A387" s="38"/>
      <c r="B387" s="130"/>
      <c r="C387" s="136" t="s">
        <v>358</v>
      </c>
      <c r="D387" s="94"/>
      <c r="E387" s="95"/>
      <c r="F387" s="215" t="s">
        <v>382</v>
      </c>
      <c r="G387" s="200">
        <f>SUM(G388)</f>
        <v>41000</v>
      </c>
      <c r="H387" s="201"/>
      <c r="I387" s="55">
        <f>SUM(I388)</f>
        <v>34698.83</v>
      </c>
      <c r="J387" s="62">
        <f t="shared" si="55"/>
        <v>0.84631292682926829</v>
      </c>
      <c r="K387" s="33">
        <v>0</v>
      </c>
    </row>
    <row r="388" spans="1:11" ht="17.100000000000001" customHeight="1" x14ac:dyDescent="0.25">
      <c r="A388" s="38"/>
      <c r="B388" s="129"/>
      <c r="C388" s="129"/>
      <c r="D388" s="129"/>
      <c r="E388" s="34" t="s">
        <v>147</v>
      </c>
      <c r="F388" s="35" t="s">
        <v>148</v>
      </c>
      <c r="G388" s="208">
        <v>41000</v>
      </c>
      <c r="H388" s="209"/>
      <c r="I388" s="36">
        <v>34698.83</v>
      </c>
      <c r="J388" s="37">
        <f t="shared" si="55"/>
        <v>0.84631292682926829</v>
      </c>
      <c r="K388" s="12">
        <v>0</v>
      </c>
    </row>
    <row r="389" spans="1:11" s="289" customFormat="1" ht="17.100000000000001" customHeight="1" x14ac:dyDescent="0.25">
      <c r="A389" s="38"/>
      <c r="B389" s="285"/>
      <c r="C389" s="454" t="s">
        <v>377</v>
      </c>
      <c r="D389" s="454"/>
      <c r="E389" s="91"/>
      <c r="F389" s="73" t="s">
        <v>378</v>
      </c>
      <c r="G389" s="455">
        <f>SUM(G390+G391+G392+G393+G394+G395+G396+G397+G398+G399+G400+G401+G402+G403+G404+G405+G406)</f>
        <v>1154895.3900000001</v>
      </c>
      <c r="H389" s="455"/>
      <c r="I389" s="291">
        <f>SUM(I390+I391+I392+I393+I394+I395+I396+I397+I398+I399+I400+I401+I402+I403+I404+I405+I406)</f>
        <v>560055.74</v>
      </c>
      <c r="J389" s="29">
        <f t="shared" si="55"/>
        <v>0.48494066635766891</v>
      </c>
      <c r="K389" s="291">
        <f>SUM(K390:K405)</f>
        <v>1356.8</v>
      </c>
    </row>
    <row r="390" spans="1:11" s="289" customFormat="1" ht="21.6" customHeight="1" x14ac:dyDescent="0.25">
      <c r="A390" s="38"/>
      <c r="B390" s="285"/>
      <c r="C390" s="413"/>
      <c r="D390" s="413"/>
      <c r="E390" s="285" t="s">
        <v>62</v>
      </c>
      <c r="F390" s="21" t="s">
        <v>63</v>
      </c>
      <c r="G390" s="414">
        <v>2100</v>
      </c>
      <c r="H390" s="415"/>
      <c r="I390" s="245">
        <v>0</v>
      </c>
      <c r="J390" s="246">
        <f t="shared" si="55"/>
        <v>0</v>
      </c>
      <c r="K390" s="245">
        <v>0</v>
      </c>
    </row>
    <row r="391" spans="1:11" s="289" customFormat="1" ht="17.100000000000001" customHeight="1" x14ac:dyDescent="0.25">
      <c r="A391" s="38"/>
      <c r="B391" s="285"/>
      <c r="C391" s="413"/>
      <c r="D391" s="413"/>
      <c r="E391" s="285" t="s">
        <v>5</v>
      </c>
      <c r="F391" s="21" t="s">
        <v>6</v>
      </c>
      <c r="G391" s="160">
        <v>685439.4</v>
      </c>
      <c r="H391" s="162" t="s">
        <v>330</v>
      </c>
      <c r="I391" s="245">
        <v>333240.32000000001</v>
      </c>
      <c r="J391" s="246">
        <f t="shared" si="55"/>
        <v>0.48617036020981574</v>
      </c>
      <c r="K391" s="245">
        <v>0</v>
      </c>
    </row>
    <row r="392" spans="1:11" s="289" customFormat="1" ht="17.100000000000001" customHeight="1" x14ac:dyDescent="0.25">
      <c r="A392" s="38"/>
      <c r="B392" s="285"/>
      <c r="C392" s="285"/>
      <c r="D392" s="285"/>
      <c r="E392" s="285" t="s">
        <v>7</v>
      </c>
      <c r="F392" s="21" t="s">
        <v>8</v>
      </c>
      <c r="G392" s="160">
        <v>48620.88</v>
      </c>
      <c r="H392" s="162"/>
      <c r="I392" s="245">
        <v>48620.88</v>
      </c>
      <c r="J392" s="246">
        <f t="shared" si="55"/>
        <v>1</v>
      </c>
      <c r="K392" s="245">
        <v>0</v>
      </c>
    </row>
    <row r="393" spans="1:11" s="289" customFormat="1" ht="17.100000000000001" customHeight="1" x14ac:dyDescent="0.25">
      <c r="A393" s="38"/>
      <c r="B393" s="285"/>
      <c r="C393" s="413"/>
      <c r="D393" s="413"/>
      <c r="E393" s="285" t="s">
        <v>9</v>
      </c>
      <c r="F393" s="21" t="s">
        <v>10</v>
      </c>
      <c r="G393" s="160">
        <v>131209.64000000001</v>
      </c>
      <c r="H393" s="162" t="s">
        <v>331</v>
      </c>
      <c r="I393" s="245">
        <v>61968.81</v>
      </c>
      <c r="J393" s="246">
        <f t="shared" si="55"/>
        <v>0.47228854526237546</v>
      </c>
      <c r="K393" s="245">
        <v>0</v>
      </c>
    </row>
    <row r="394" spans="1:11" s="289" customFormat="1" ht="19.8" customHeight="1" x14ac:dyDescent="0.25">
      <c r="A394" s="38"/>
      <c r="B394" s="285"/>
      <c r="C394" s="413"/>
      <c r="D394" s="413"/>
      <c r="E394" s="285" t="s">
        <v>21</v>
      </c>
      <c r="F394" s="21" t="s">
        <v>371</v>
      </c>
      <c r="G394" s="160">
        <v>18312.27</v>
      </c>
      <c r="H394" s="162" t="s">
        <v>332</v>
      </c>
      <c r="I394" s="245">
        <v>7508.78</v>
      </c>
      <c r="J394" s="246">
        <f t="shared" si="55"/>
        <v>0.4100409179200612</v>
      </c>
      <c r="K394" s="245">
        <v>0</v>
      </c>
    </row>
    <row r="395" spans="1:11" s="289" customFormat="1" ht="17.100000000000001" customHeight="1" x14ac:dyDescent="0.25">
      <c r="A395" s="38"/>
      <c r="B395" s="285"/>
      <c r="C395" s="285"/>
      <c r="D395" s="285"/>
      <c r="E395" s="285" t="s">
        <v>22</v>
      </c>
      <c r="F395" s="21" t="s">
        <v>23</v>
      </c>
      <c r="G395" s="160">
        <v>6000</v>
      </c>
      <c r="H395" s="162"/>
      <c r="I395" s="245">
        <v>2100</v>
      </c>
      <c r="J395" s="246">
        <f t="shared" si="55"/>
        <v>0.35</v>
      </c>
      <c r="K395" s="245">
        <v>0</v>
      </c>
    </row>
    <row r="396" spans="1:11" s="289" customFormat="1" ht="17.100000000000001" customHeight="1" x14ac:dyDescent="0.25">
      <c r="A396" s="38"/>
      <c r="B396" s="285"/>
      <c r="C396" s="413"/>
      <c r="D396" s="413"/>
      <c r="E396" s="285" t="s">
        <v>24</v>
      </c>
      <c r="F396" s="21" t="s">
        <v>25</v>
      </c>
      <c r="G396" s="160">
        <v>87933.2</v>
      </c>
      <c r="H396" s="162" t="s">
        <v>333</v>
      </c>
      <c r="I396" s="245">
        <v>26857.18</v>
      </c>
      <c r="J396" s="246">
        <f t="shared" si="55"/>
        <v>0.30542707418813375</v>
      </c>
      <c r="K396" s="245">
        <v>0</v>
      </c>
    </row>
    <row r="397" spans="1:11" s="289" customFormat="1" ht="17.100000000000001" customHeight="1" x14ac:dyDescent="0.25">
      <c r="A397" s="38"/>
      <c r="B397" s="285"/>
      <c r="C397" s="413"/>
      <c r="D397" s="413"/>
      <c r="E397" s="285" t="s">
        <v>110</v>
      </c>
      <c r="F397" s="21" t="s">
        <v>111</v>
      </c>
      <c r="G397" s="160">
        <v>80000</v>
      </c>
      <c r="H397" s="162" t="s">
        <v>255</v>
      </c>
      <c r="I397" s="245">
        <v>30259.25</v>
      </c>
      <c r="J397" s="246">
        <f t="shared" si="55"/>
        <v>0.378240625</v>
      </c>
      <c r="K397" s="245">
        <v>1056.8</v>
      </c>
    </row>
    <row r="398" spans="1:11" s="289" customFormat="1" ht="17.100000000000001" customHeight="1" x14ac:dyDescent="0.25">
      <c r="A398" s="38"/>
      <c r="B398" s="285"/>
      <c r="C398" s="285"/>
      <c r="D398" s="285"/>
      <c r="E398" s="285" t="s">
        <v>68</v>
      </c>
      <c r="F398" s="21" t="s">
        <v>69</v>
      </c>
      <c r="G398" s="160">
        <v>35000</v>
      </c>
      <c r="H398" s="162"/>
      <c r="I398" s="245">
        <v>16289.82</v>
      </c>
      <c r="J398" s="246">
        <f t="shared" si="55"/>
        <v>0.46542342857142854</v>
      </c>
      <c r="K398" s="245">
        <v>0</v>
      </c>
    </row>
    <row r="399" spans="1:11" s="289" customFormat="1" ht="17.100000000000001" customHeight="1" x14ac:dyDescent="0.25">
      <c r="A399" s="38"/>
      <c r="B399" s="285"/>
      <c r="C399" s="413"/>
      <c r="D399" s="413"/>
      <c r="E399" s="285" t="s">
        <v>70</v>
      </c>
      <c r="F399" s="21" t="s">
        <v>71</v>
      </c>
      <c r="G399" s="160">
        <v>700</v>
      </c>
      <c r="H399" s="162" t="s">
        <v>256</v>
      </c>
      <c r="I399" s="245">
        <v>90</v>
      </c>
      <c r="J399" s="246">
        <f t="shared" si="55"/>
        <v>0.12857142857142856</v>
      </c>
      <c r="K399" s="245">
        <v>0</v>
      </c>
    </row>
    <row r="400" spans="1:11" s="289" customFormat="1" ht="17.100000000000001" customHeight="1" x14ac:dyDescent="0.25">
      <c r="A400" s="38"/>
      <c r="B400" s="285"/>
      <c r="C400" s="413"/>
      <c r="D400" s="413"/>
      <c r="E400" s="285" t="s">
        <v>26</v>
      </c>
      <c r="F400" s="21" t="s">
        <v>27</v>
      </c>
      <c r="G400" s="160">
        <v>20100</v>
      </c>
      <c r="H400" s="162" t="s">
        <v>257</v>
      </c>
      <c r="I400" s="245">
        <v>10176.1</v>
      </c>
      <c r="J400" s="246">
        <f t="shared" si="55"/>
        <v>0.50627363184079599</v>
      </c>
      <c r="K400" s="245">
        <v>300</v>
      </c>
    </row>
    <row r="401" spans="1:11" s="289" customFormat="1" ht="19.8" customHeight="1" x14ac:dyDescent="0.25">
      <c r="A401" s="38"/>
      <c r="B401" s="285"/>
      <c r="C401" s="413"/>
      <c r="D401" s="413"/>
      <c r="E401" s="285" t="s">
        <v>72</v>
      </c>
      <c r="F401" s="21" t="s">
        <v>214</v>
      </c>
      <c r="G401" s="160">
        <v>1800</v>
      </c>
      <c r="H401" s="162" t="s">
        <v>143</v>
      </c>
      <c r="I401" s="245">
        <v>885.6</v>
      </c>
      <c r="J401" s="246">
        <f t="shared" si="55"/>
        <v>0.49199999999999999</v>
      </c>
      <c r="K401" s="245">
        <v>0</v>
      </c>
    </row>
    <row r="402" spans="1:11" s="332" customFormat="1" ht="17.399999999999999" customHeight="1" x14ac:dyDescent="0.25">
      <c r="A402" s="38"/>
      <c r="B402" s="330"/>
      <c r="C402" s="330"/>
      <c r="D402" s="330"/>
      <c r="E402" s="330" t="s">
        <v>52</v>
      </c>
      <c r="F402" s="21" t="s">
        <v>53</v>
      </c>
      <c r="G402" s="160">
        <v>1300</v>
      </c>
      <c r="H402" s="162" t="s">
        <v>139</v>
      </c>
      <c r="I402" s="245">
        <v>0</v>
      </c>
      <c r="J402" s="246">
        <f t="shared" ref="J402:J403" si="56">I402/G402</f>
        <v>0</v>
      </c>
      <c r="K402" s="245">
        <v>0</v>
      </c>
    </row>
    <row r="403" spans="1:11" s="332" customFormat="1" ht="15.6" customHeight="1" x14ac:dyDescent="0.25">
      <c r="A403" s="38"/>
      <c r="B403" s="330"/>
      <c r="C403" s="413"/>
      <c r="D403" s="413"/>
      <c r="E403" s="330" t="s">
        <v>28</v>
      </c>
      <c r="F403" s="21" t="s">
        <v>29</v>
      </c>
      <c r="G403" s="160">
        <v>1380</v>
      </c>
      <c r="H403" s="162" t="s">
        <v>259</v>
      </c>
      <c r="I403" s="245">
        <v>1019</v>
      </c>
      <c r="J403" s="246">
        <f t="shared" si="56"/>
        <v>0.73840579710144927</v>
      </c>
      <c r="K403" s="245">
        <v>0</v>
      </c>
    </row>
    <row r="404" spans="1:11" s="289" customFormat="1" ht="21" customHeight="1" x14ac:dyDescent="0.25">
      <c r="A404" s="38"/>
      <c r="B404" s="285"/>
      <c r="C404" s="413"/>
      <c r="D404" s="413"/>
      <c r="E404" s="285" t="s">
        <v>11</v>
      </c>
      <c r="F404" s="21" t="s">
        <v>12</v>
      </c>
      <c r="G404" s="160">
        <v>28000</v>
      </c>
      <c r="H404" s="162" t="s">
        <v>334</v>
      </c>
      <c r="I404" s="245">
        <v>21000</v>
      </c>
      <c r="J404" s="246">
        <f t="shared" si="55"/>
        <v>0.75</v>
      </c>
      <c r="K404" s="245">
        <v>0</v>
      </c>
    </row>
    <row r="405" spans="1:11" s="289" customFormat="1" ht="21.6" customHeight="1" x14ac:dyDescent="0.25">
      <c r="A405" s="38"/>
      <c r="B405" s="285"/>
      <c r="C405" s="285"/>
      <c r="D405" s="285"/>
      <c r="E405" s="285" t="s">
        <v>54</v>
      </c>
      <c r="F405" s="21" t="s">
        <v>55</v>
      </c>
      <c r="G405" s="160">
        <v>5000</v>
      </c>
      <c r="H405" s="163" t="s">
        <v>127</v>
      </c>
      <c r="I405" s="245">
        <v>40</v>
      </c>
      <c r="J405" s="246">
        <f t="shared" si="55"/>
        <v>8.0000000000000002E-3</v>
      </c>
      <c r="K405" s="245">
        <v>0</v>
      </c>
    </row>
    <row r="406" spans="1:11" s="289" customFormat="1" ht="21.6" customHeight="1" x14ac:dyDescent="0.25">
      <c r="A406" s="38"/>
      <c r="B406" s="285"/>
      <c r="C406" s="285"/>
      <c r="D406" s="285"/>
      <c r="E406" s="348" t="s">
        <v>373</v>
      </c>
      <c r="F406" s="21" t="s">
        <v>372</v>
      </c>
      <c r="G406" s="160">
        <v>2000</v>
      </c>
      <c r="H406" s="302"/>
      <c r="I406" s="245">
        <v>0</v>
      </c>
      <c r="J406" s="246">
        <f t="shared" si="55"/>
        <v>0</v>
      </c>
      <c r="K406" s="245">
        <v>0</v>
      </c>
    </row>
    <row r="407" spans="1:11" s="367" customFormat="1" ht="16.8" customHeight="1" x14ac:dyDescent="0.25">
      <c r="A407" s="38"/>
      <c r="B407" s="349"/>
      <c r="C407" s="352" t="s">
        <v>417</v>
      </c>
      <c r="D407" s="352"/>
      <c r="E407" s="352"/>
      <c r="F407" s="73" t="s">
        <v>20</v>
      </c>
      <c r="G407" s="395">
        <f>SUM(G408+G409)</f>
        <v>2593</v>
      </c>
      <c r="H407" s="395">
        <f t="shared" ref="H407:I407" si="57">SUM(H408+H409)</f>
        <v>0</v>
      </c>
      <c r="I407" s="395">
        <f t="shared" si="57"/>
        <v>2530.5</v>
      </c>
      <c r="J407" s="29">
        <f t="shared" si="55"/>
        <v>0.97589664481295801</v>
      </c>
      <c r="K407" s="353">
        <v>0</v>
      </c>
    </row>
    <row r="408" spans="1:11" s="367" customFormat="1" ht="14.4" customHeight="1" x14ac:dyDescent="0.25">
      <c r="A408" s="38"/>
      <c r="B408" s="348"/>
      <c r="C408" s="348"/>
      <c r="D408" s="348"/>
      <c r="E408" s="348" t="s">
        <v>135</v>
      </c>
      <c r="F408" s="21" t="s">
        <v>136</v>
      </c>
      <c r="G408" s="160">
        <v>2517</v>
      </c>
      <c r="H408" s="302"/>
      <c r="I408" s="245">
        <v>2517</v>
      </c>
      <c r="J408" s="246">
        <f t="shared" si="55"/>
        <v>1</v>
      </c>
      <c r="K408" s="245">
        <v>0</v>
      </c>
    </row>
    <row r="409" spans="1:11" s="367" customFormat="1" ht="14.4" customHeight="1" x14ac:dyDescent="0.25">
      <c r="A409" s="38"/>
      <c r="B409" s="348"/>
      <c r="C409" s="348"/>
      <c r="D409" s="348"/>
      <c r="E409" s="348" t="s">
        <v>26</v>
      </c>
      <c r="F409" s="21" t="s">
        <v>27</v>
      </c>
      <c r="G409" s="160">
        <v>76</v>
      </c>
      <c r="H409" s="302"/>
      <c r="I409" s="245">
        <v>13.5</v>
      </c>
      <c r="J409" s="246">
        <f t="shared" si="55"/>
        <v>0.17763157894736842</v>
      </c>
      <c r="K409" s="13">
        <v>0</v>
      </c>
    </row>
    <row r="410" spans="1:11" ht="24.75" customHeight="1" thickBot="1" x14ac:dyDescent="0.3">
      <c r="A410" s="38"/>
      <c r="B410" s="99" t="s">
        <v>164</v>
      </c>
      <c r="C410" s="431"/>
      <c r="D410" s="431"/>
      <c r="E410" s="99"/>
      <c r="F410" s="18" t="s">
        <v>165</v>
      </c>
      <c r="G410" s="436">
        <f>G411+G415+G428+G433+G439+G445+G447+G450</f>
        <v>7070282.3300000001</v>
      </c>
      <c r="H410" s="437"/>
      <c r="I410" s="16">
        <f>I411+I415+I428+I433+I439+I445+I447+I450</f>
        <v>1357092.51</v>
      </c>
      <c r="J410" s="19">
        <f t="shared" ref="J410:J427" si="58">I410/G410</f>
        <v>0.19194318510333094</v>
      </c>
      <c r="K410" s="10">
        <f>K411+K415+K428+K433+K439+K445+K447+K450</f>
        <v>176730.34</v>
      </c>
    </row>
    <row r="411" spans="1:11" ht="17.100000000000001" customHeight="1" thickTop="1" x14ac:dyDescent="0.25">
      <c r="A411" s="38"/>
      <c r="B411" s="20"/>
      <c r="C411" s="419" t="s">
        <v>166</v>
      </c>
      <c r="D411" s="419"/>
      <c r="E411" s="39"/>
      <c r="F411" s="40" t="s">
        <v>167</v>
      </c>
      <c r="G411" s="424">
        <f>SUM(G413+G412+G414)</f>
        <v>37171.39</v>
      </c>
      <c r="H411" s="425"/>
      <c r="I411" s="14">
        <f>SUM(I413+I412+I414)</f>
        <v>1100.8800000000001</v>
      </c>
      <c r="J411" s="67">
        <f t="shared" si="58"/>
        <v>2.9616325889346623E-2</v>
      </c>
      <c r="K411" s="53">
        <f>SUM(K412+K413+K414)</f>
        <v>0</v>
      </c>
    </row>
    <row r="412" spans="1:11" s="289" customFormat="1" ht="15.6" customHeight="1" x14ac:dyDescent="0.25">
      <c r="A412" s="38"/>
      <c r="B412" s="20"/>
      <c r="C412" s="293"/>
      <c r="D412" s="293"/>
      <c r="E412" s="74" t="s">
        <v>26</v>
      </c>
      <c r="F412" s="21" t="s">
        <v>27</v>
      </c>
      <c r="G412" s="184">
        <v>18450</v>
      </c>
      <c r="H412" s="216"/>
      <c r="I412" s="193">
        <v>0</v>
      </c>
      <c r="J412" s="118">
        <f>I412/G412</f>
        <v>0</v>
      </c>
      <c r="K412" s="193">
        <v>0</v>
      </c>
    </row>
    <row r="413" spans="1:11" ht="12.6" customHeight="1" x14ac:dyDescent="0.25">
      <c r="A413" s="38"/>
      <c r="B413" s="20"/>
      <c r="C413" s="58"/>
      <c r="D413" s="58"/>
      <c r="E413" s="74" t="s">
        <v>28</v>
      </c>
      <c r="F413" s="89" t="s">
        <v>29</v>
      </c>
      <c r="G413" s="184">
        <v>4695.3900000000003</v>
      </c>
      <c r="H413" s="216"/>
      <c r="I413" s="193">
        <v>1100.8800000000001</v>
      </c>
      <c r="J413" s="118">
        <f>I413/G413</f>
        <v>0.2344597573364513</v>
      </c>
      <c r="K413" s="193">
        <v>0</v>
      </c>
    </row>
    <row r="414" spans="1:11" s="289" customFormat="1" ht="27.6" customHeight="1" x14ac:dyDescent="0.25">
      <c r="A414" s="38"/>
      <c r="B414" s="20"/>
      <c r="C414" s="293"/>
      <c r="D414" s="293"/>
      <c r="E414" s="74" t="s">
        <v>375</v>
      </c>
      <c r="F414" s="89" t="s">
        <v>376</v>
      </c>
      <c r="G414" s="184">
        <v>14026</v>
      </c>
      <c r="H414" s="216"/>
      <c r="I414" s="193">
        <v>0</v>
      </c>
      <c r="J414" s="118">
        <f t="shared" ref="J414" si="59">I414/G414</f>
        <v>0</v>
      </c>
      <c r="K414" s="403">
        <v>0</v>
      </c>
    </row>
    <row r="415" spans="1:11" ht="13.8" customHeight="1" x14ac:dyDescent="0.25">
      <c r="A415" s="38"/>
      <c r="B415" s="20"/>
      <c r="C415" s="416" t="s">
        <v>168</v>
      </c>
      <c r="D415" s="416"/>
      <c r="E415" s="27"/>
      <c r="F415" s="28" t="s">
        <v>360</v>
      </c>
      <c r="G415" s="417">
        <f>SUM(G416+G418+G420+G421+G422+G423+G426+G427+G419+G425+G424)</f>
        <v>2429179.58</v>
      </c>
      <c r="H415" s="418"/>
      <c r="I415" s="33">
        <f>SUM(I416+I418+I420+I421+I422+I423+I426+I427+I419+I425+I424)</f>
        <v>919889.11</v>
      </c>
      <c r="J415" s="29">
        <f t="shared" si="58"/>
        <v>0.37868304079849047</v>
      </c>
      <c r="K415" s="14">
        <f>SUM(K416+K418+K419+K420+K421+K422+K423+K424+K425+K426+K427)</f>
        <v>162564.18</v>
      </c>
    </row>
    <row r="416" spans="1:11" ht="15" customHeight="1" x14ac:dyDescent="0.25">
      <c r="A416" s="38"/>
      <c r="B416" s="20"/>
      <c r="C416" s="58"/>
      <c r="D416" s="58"/>
      <c r="E416" s="34" t="s">
        <v>5</v>
      </c>
      <c r="F416" s="21" t="s">
        <v>6</v>
      </c>
      <c r="G416" s="179">
        <v>100444.8</v>
      </c>
      <c r="H416" s="201"/>
      <c r="I416" s="36">
        <v>44065.58</v>
      </c>
      <c r="J416" s="37">
        <f t="shared" si="58"/>
        <v>0.4387044426391411</v>
      </c>
      <c r="K416" s="22">
        <v>0</v>
      </c>
    </row>
    <row r="417" spans="1:18" s="367" customFormat="1" ht="15" customHeight="1" x14ac:dyDescent="0.25">
      <c r="A417" s="38"/>
      <c r="B417" s="43" t="s">
        <v>199</v>
      </c>
      <c r="C417" s="43" t="s">
        <v>200</v>
      </c>
      <c r="D417" s="43"/>
      <c r="E417" s="43" t="s">
        <v>201</v>
      </c>
      <c r="F417" s="43" t="s">
        <v>202</v>
      </c>
      <c r="G417" s="57" t="s">
        <v>203</v>
      </c>
      <c r="H417" s="57"/>
      <c r="I417" s="44" t="s">
        <v>204</v>
      </c>
      <c r="J417" s="44" t="s">
        <v>205</v>
      </c>
      <c r="K417" s="44" t="s">
        <v>206</v>
      </c>
    </row>
    <row r="418" spans="1:18" ht="13.8" customHeight="1" x14ac:dyDescent="0.25">
      <c r="A418" s="38"/>
      <c r="B418" s="20"/>
      <c r="C418" s="58"/>
      <c r="D418" s="58"/>
      <c r="E418" s="98" t="s">
        <v>7</v>
      </c>
      <c r="F418" s="21" t="s">
        <v>8</v>
      </c>
      <c r="G418" s="174">
        <v>6672.24</v>
      </c>
      <c r="H418" s="176"/>
      <c r="I418" s="22">
        <v>6672.24</v>
      </c>
      <c r="J418" s="23">
        <f t="shared" si="58"/>
        <v>1</v>
      </c>
      <c r="K418" s="22">
        <v>0</v>
      </c>
    </row>
    <row r="419" spans="1:18" s="367" customFormat="1" ht="13.8" customHeight="1" x14ac:dyDescent="0.25">
      <c r="A419" s="38"/>
      <c r="B419" s="20"/>
      <c r="C419" s="361"/>
      <c r="D419" s="361"/>
      <c r="E419" s="348" t="s">
        <v>64</v>
      </c>
      <c r="F419" s="21" t="s">
        <v>65</v>
      </c>
      <c r="G419" s="354">
        <v>20000</v>
      </c>
      <c r="H419" s="176"/>
      <c r="I419" s="245">
        <v>10391</v>
      </c>
      <c r="J419" s="246">
        <f t="shared" si="58"/>
        <v>0.51954999999999996</v>
      </c>
      <c r="K419" s="245">
        <v>0</v>
      </c>
    </row>
    <row r="420" spans="1:18" ht="17.100000000000001" customHeight="1" x14ac:dyDescent="0.25">
      <c r="A420" s="38"/>
      <c r="B420" s="20"/>
      <c r="C420" s="58"/>
      <c r="D420" s="58"/>
      <c r="E420" s="98" t="s">
        <v>9</v>
      </c>
      <c r="F420" s="21" t="s">
        <v>10</v>
      </c>
      <c r="G420" s="174">
        <v>16751</v>
      </c>
      <c r="H420" s="176"/>
      <c r="I420" s="22">
        <v>8590.9599999999991</v>
      </c>
      <c r="J420" s="23">
        <f t="shared" si="58"/>
        <v>0.51286251567070618</v>
      </c>
      <c r="K420" s="22">
        <v>0</v>
      </c>
    </row>
    <row r="421" spans="1:18" ht="22.2" customHeight="1" x14ac:dyDescent="0.25">
      <c r="A421" s="38"/>
      <c r="B421" s="20"/>
      <c r="C421" s="58"/>
      <c r="D421" s="58"/>
      <c r="E421" s="98" t="s">
        <v>21</v>
      </c>
      <c r="F421" s="21" t="s">
        <v>371</v>
      </c>
      <c r="G421" s="174">
        <v>2643.18</v>
      </c>
      <c r="H421" s="176"/>
      <c r="I421" s="22">
        <v>1230.8699999999999</v>
      </c>
      <c r="J421" s="23">
        <f t="shared" si="58"/>
        <v>0.46567770639911016</v>
      </c>
      <c r="K421" s="22">
        <v>0</v>
      </c>
    </row>
    <row r="422" spans="1:18" ht="15.6" customHeight="1" x14ac:dyDescent="0.25">
      <c r="A422" s="38"/>
      <c r="B422" s="20"/>
      <c r="C422" s="58"/>
      <c r="D422" s="58"/>
      <c r="E422" s="98" t="s">
        <v>24</v>
      </c>
      <c r="F422" s="21" t="s">
        <v>25</v>
      </c>
      <c r="G422" s="174">
        <v>15000</v>
      </c>
      <c r="H422" s="176"/>
      <c r="I422" s="22">
        <v>0</v>
      </c>
      <c r="J422" s="23">
        <f t="shared" si="58"/>
        <v>0</v>
      </c>
      <c r="K422" s="22">
        <v>0</v>
      </c>
    </row>
    <row r="423" spans="1:18" ht="12.6" customHeight="1" x14ac:dyDescent="0.25">
      <c r="A423" s="38"/>
      <c r="B423" s="98"/>
      <c r="C423" s="413"/>
      <c r="D423" s="413"/>
      <c r="E423" s="98" t="s">
        <v>26</v>
      </c>
      <c r="F423" s="21" t="s">
        <v>27</v>
      </c>
      <c r="G423" s="174">
        <v>2254027.19</v>
      </c>
      <c r="H423" s="170"/>
      <c r="I423" s="22">
        <v>837135.53</v>
      </c>
      <c r="J423" s="23">
        <f t="shared" si="58"/>
        <v>0.37139548880064754</v>
      </c>
      <c r="K423" s="22">
        <v>162564.18</v>
      </c>
    </row>
    <row r="424" spans="1:18" s="289" customFormat="1" ht="21.6" customHeight="1" x14ac:dyDescent="0.25">
      <c r="A424" s="38"/>
      <c r="B424" s="285"/>
      <c r="C424" s="285"/>
      <c r="D424" s="285"/>
      <c r="E424" s="285" t="s">
        <v>72</v>
      </c>
      <c r="F424" s="21" t="s">
        <v>214</v>
      </c>
      <c r="G424" s="290">
        <v>600</v>
      </c>
      <c r="H424" s="283"/>
      <c r="I424" s="245">
        <v>300</v>
      </c>
      <c r="J424" s="246">
        <f t="shared" si="58"/>
        <v>0.5</v>
      </c>
      <c r="K424" s="245">
        <v>0</v>
      </c>
    </row>
    <row r="425" spans="1:18" s="367" customFormat="1" ht="16.8" customHeight="1" x14ac:dyDescent="0.25">
      <c r="A425" s="38"/>
      <c r="B425" s="348"/>
      <c r="C425" s="348"/>
      <c r="D425" s="348"/>
      <c r="E425" s="348" t="s">
        <v>52</v>
      </c>
      <c r="F425" s="21" t="s">
        <v>53</v>
      </c>
      <c r="G425" s="354">
        <v>1000</v>
      </c>
      <c r="H425" s="351"/>
      <c r="I425" s="245">
        <v>293.25</v>
      </c>
      <c r="J425" s="246">
        <f t="shared" si="58"/>
        <v>0.29325000000000001</v>
      </c>
      <c r="K425" s="245">
        <v>0</v>
      </c>
    </row>
    <row r="426" spans="1:18" ht="22.8" customHeight="1" x14ac:dyDescent="0.25">
      <c r="A426" s="38"/>
      <c r="B426" s="98"/>
      <c r="C426" s="413"/>
      <c r="D426" s="413"/>
      <c r="E426" s="98" t="s">
        <v>11</v>
      </c>
      <c r="F426" s="21" t="s">
        <v>12</v>
      </c>
      <c r="G426" s="174">
        <v>3325.94</v>
      </c>
      <c r="H426" s="170"/>
      <c r="I426" s="22">
        <v>2494.4499999999998</v>
      </c>
      <c r="J426" s="140">
        <f t="shared" si="58"/>
        <v>0.74999849666560425</v>
      </c>
      <c r="K426" s="22">
        <v>0</v>
      </c>
    </row>
    <row r="427" spans="1:18" ht="22.2" customHeight="1" x14ac:dyDescent="0.25">
      <c r="A427" s="38"/>
      <c r="B427" s="98"/>
      <c r="C427" s="98"/>
      <c r="D427" s="98"/>
      <c r="E427" s="362" t="s">
        <v>248</v>
      </c>
      <c r="F427" s="134" t="s">
        <v>247</v>
      </c>
      <c r="G427" s="210">
        <v>8715.23</v>
      </c>
      <c r="H427" s="170"/>
      <c r="I427" s="22">
        <v>8715.23</v>
      </c>
      <c r="J427" s="140">
        <f t="shared" si="58"/>
        <v>1</v>
      </c>
      <c r="K427" s="22">
        <v>0</v>
      </c>
    </row>
    <row r="428" spans="1:18" ht="13.95" customHeight="1" x14ac:dyDescent="0.25">
      <c r="A428" s="38"/>
      <c r="B428" s="98"/>
      <c r="C428" s="416" t="s">
        <v>241</v>
      </c>
      <c r="D428" s="416"/>
      <c r="E428" s="137"/>
      <c r="F428" s="72" t="s">
        <v>242</v>
      </c>
      <c r="G428" s="478">
        <f>SUM(G429+G430+G431+G432)</f>
        <v>28812.39</v>
      </c>
      <c r="H428" s="478"/>
      <c r="I428" s="55">
        <f>SUM(I429+I430+I431+I432)</f>
        <v>12177.460000000001</v>
      </c>
      <c r="J428" s="29">
        <f t="shared" ref="J428:J444" si="60">I428/G428</f>
        <v>0.42264664611300906</v>
      </c>
      <c r="K428" s="55">
        <v>0</v>
      </c>
    </row>
    <row r="429" spans="1:18" s="289" customFormat="1" ht="13.95" customHeight="1" x14ac:dyDescent="0.25">
      <c r="A429" s="38"/>
      <c r="B429" s="285"/>
      <c r="C429" s="293"/>
      <c r="D429" s="147"/>
      <c r="E429" s="303" t="s">
        <v>24</v>
      </c>
      <c r="F429" s="45" t="s">
        <v>25</v>
      </c>
      <c r="G429" s="36">
        <v>2500</v>
      </c>
      <c r="H429" s="171"/>
      <c r="I429" s="211">
        <v>563.34</v>
      </c>
      <c r="J429" s="246">
        <f t="shared" si="60"/>
        <v>0.22533600000000001</v>
      </c>
      <c r="K429" s="36">
        <v>0</v>
      </c>
    </row>
    <row r="430" spans="1:18" s="367" customFormat="1" ht="13.95" customHeight="1" x14ac:dyDescent="0.25">
      <c r="A430" s="38"/>
      <c r="B430" s="348"/>
      <c r="C430" s="361"/>
      <c r="D430" s="147"/>
      <c r="E430" s="42" t="s">
        <v>68</v>
      </c>
      <c r="F430" s="400" t="s">
        <v>69</v>
      </c>
      <c r="G430" s="245">
        <v>3000</v>
      </c>
      <c r="H430" s="171"/>
      <c r="I430" s="56">
        <v>0</v>
      </c>
      <c r="J430" s="140">
        <f t="shared" si="60"/>
        <v>0</v>
      </c>
      <c r="K430" s="245">
        <v>0</v>
      </c>
    </row>
    <row r="431" spans="1:18" ht="12.6" customHeight="1" x14ac:dyDescent="0.25">
      <c r="A431" s="38"/>
      <c r="B431" s="98"/>
      <c r="C431" s="58"/>
      <c r="D431" s="147"/>
      <c r="E431" s="348" t="s">
        <v>26</v>
      </c>
      <c r="F431" s="21" t="s">
        <v>27</v>
      </c>
      <c r="G431" s="355">
        <v>21312.39</v>
      </c>
      <c r="H431" s="398"/>
      <c r="I431" s="56">
        <v>11614.12</v>
      </c>
      <c r="J431" s="140">
        <f t="shared" si="60"/>
        <v>0.54494685954977373</v>
      </c>
      <c r="K431" s="245">
        <v>0</v>
      </c>
      <c r="R431" s="289"/>
    </row>
    <row r="432" spans="1:18" s="367" customFormat="1" ht="22.8" customHeight="1" x14ac:dyDescent="0.25">
      <c r="A432" s="38"/>
      <c r="B432" s="349"/>
      <c r="C432" s="399"/>
      <c r="D432" s="108"/>
      <c r="E432" s="362" t="s">
        <v>418</v>
      </c>
      <c r="F432" s="21" t="s">
        <v>419</v>
      </c>
      <c r="G432" s="396">
        <v>2000</v>
      </c>
      <c r="H432" s="397"/>
      <c r="I432" s="13">
        <v>0</v>
      </c>
      <c r="J432" s="304">
        <f t="shared" si="60"/>
        <v>0</v>
      </c>
      <c r="K432" s="13">
        <v>0</v>
      </c>
    </row>
    <row r="433" spans="1:11" ht="22.2" customHeight="1" x14ac:dyDescent="0.25">
      <c r="A433" s="38"/>
      <c r="B433" s="114"/>
      <c r="C433" s="112" t="s">
        <v>341</v>
      </c>
      <c r="D433" s="94"/>
      <c r="E433" s="131"/>
      <c r="F433" s="126" t="s">
        <v>342</v>
      </c>
      <c r="G433" s="250">
        <f>SUM(G434+G435+G436+G437+G438)</f>
        <v>98298.18</v>
      </c>
      <c r="H433" s="250">
        <f t="shared" ref="H433:I433" si="61">SUM(H434+H435+H436+H437+H438)</f>
        <v>0</v>
      </c>
      <c r="I433" s="250">
        <f t="shared" si="61"/>
        <v>13724.279999999999</v>
      </c>
      <c r="J433" s="29">
        <f t="shared" si="60"/>
        <v>0.13961886171239385</v>
      </c>
      <c r="K433" s="14">
        <f>SUM(K434:K438)</f>
        <v>0</v>
      </c>
    </row>
    <row r="434" spans="1:11" s="289" customFormat="1" ht="14.4" customHeight="1" x14ac:dyDescent="0.25">
      <c r="A434" s="38"/>
      <c r="B434" s="286"/>
      <c r="C434" s="296"/>
      <c r="D434" s="94"/>
      <c r="E434" s="401" t="s">
        <v>5</v>
      </c>
      <c r="F434" s="21" t="s">
        <v>6</v>
      </c>
      <c r="G434" s="290">
        <v>9582.4</v>
      </c>
      <c r="H434" s="283"/>
      <c r="I434" s="245">
        <v>6589</v>
      </c>
      <c r="J434" s="246">
        <f t="shared" si="60"/>
        <v>0.68761479378861246</v>
      </c>
      <c r="K434" s="245">
        <v>0</v>
      </c>
    </row>
    <row r="435" spans="1:11" s="367" customFormat="1" ht="14.4" customHeight="1" x14ac:dyDescent="0.25">
      <c r="A435" s="38"/>
      <c r="B435" s="349"/>
      <c r="C435" s="382"/>
      <c r="D435" s="94"/>
      <c r="E435" s="349" t="s">
        <v>9</v>
      </c>
      <c r="F435" s="21" t="s">
        <v>10</v>
      </c>
      <c r="G435" s="354">
        <v>1638.64</v>
      </c>
      <c r="H435" s="351"/>
      <c r="I435" s="245">
        <v>1126.8</v>
      </c>
      <c r="J435" s="246">
        <f t="shared" si="60"/>
        <v>0.68764341160962739</v>
      </c>
      <c r="K435" s="245">
        <v>0</v>
      </c>
    </row>
    <row r="436" spans="1:11" s="367" customFormat="1" ht="24.6" customHeight="1" x14ac:dyDescent="0.25">
      <c r="A436" s="38"/>
      <c r="B436" s="349"/>
      <c r="C436" s="382"/>
      <c r="D436" s="94"/>
      <c r="E436" s="349" t="s">
        <v>21</v>
      </c>
      <c r="F436" s="21" t="s">
        <v>371</v>
      </c>
      <c r="G436" s="354">
        <v>234.76</v>
      </c>
      <c r="H436" s="351"/>
      <c r="I436" s="245">
        <v>161.43</v>
      </c>
      <c r="J436" s="246">
        <f t="shared" si="60"/>
        <v>0.68763843925711365</v>
      </c>
      <c r="K436" s="245">
        <v>0</v>
      </c>
    </row>
    <row r="437" spans="1:11" s="367" customFormat="1" ht="14.4" customHeight="1" x14ac:dyDescent="0.25">
      <c r="A437" s="38"/>
      <c r="B437" s="349"/>
      <c r="C437" s="382"/>
      <c r="D437" s="94"/>
      <c r="E437" s="349" t="s">
        <v>24</v>
      </c>
      <c r="F437" s="402" t="s">
        <v>25</v>
      </c>
      <c r="G437" s="354">
        <v>9578.3799999999992</v>
      </c>
      <c r="H437" s="351"/>
      <c r="I437" s="245">
        <v>3190.25</v>
      </c>
      <c r="J437" s="246">
        <f t="shared" ref="J437" si="62">I437/G437</f>
        <v>0.33306780478536041</v>
      </c>
      <c r="K437" s="245">
        <v>0</v>
      </c>
    </row>
    <row r="438" spans="1:11" ht="12.6" customHeight="1" x14ac:dyDescent="0.25">
      <c r="A438" s="38"/>
      <c r="B438" s="98"/>
      <c r="C438" s="58"/>
      <c r="D438" s="58"/>
      <c r="E438" s="285" t="s">
        <v>26</v>
      </c>
      <c r="F438" s="113" t="s">
        <v>27</v>
      </c>
      <c r="G438" s="290">
        <v>77264</v>
      </c>
      <c r="H438" s="176"/>
      <c r="I438" s="245">
        <v>2656.8</v>
      </c>
      <c r="J438" s="246">
        <f t="shared" si="60"/>
        <v>3.4386001242493275E-2</v>
      </c>
      <c r="K438" s="13">
        <v>0</v>
      </c>
    </row>
    <row r="439" spans="1:11" ht="14.4" customHeight="1" x14ac:dyDescent="0.25">
      <c r="A439" s="38"/>
      <c r="B439" s="20"/>
      <c r="C439" s="416" t="s">
        <v>169</v>
      </c>
      <c r="D439" s="416"/>
      <c r="E439" s="27"/>
      <c r="F439" s="28" t="s">
        <v>170</v>
      </c>
      <c r="G439" s="417">
        <f>G440+G441+G442+G443+G444</f>
        <v>794985.29</v>
      </c>
      <c r="H439" s="418"/>
      <c r="I439" s="33">
        <f>I440+I441+I442+I443+I444</f>
        <v>303437.20999999996</v>
      </c>
      <c r="J439" s="29">
        <f t="shared" si="60"/>
        <v>0.38168908760563347</v>
      </c>
      <c r="K439" s="14">
        <f>SUM(K440+K441+K442+K443+K444)</f>
        <v>14166.16</v>
      </c>
    </row>
    <row r="440" spans="1:11" ht="15.6" customHeight="1" x14ac:dyDescent="0.25">
      <c r="A440" s="38"/>
      <c r="B440" s="98"/>
      <c r="C440" s="413"/>
      <c r="D440" s="413"/>
      <c r="E440" s="34" t="s">
        <v>24</v>
      </c>
      <c r="F440" s="35" t="s">
        <v>25</v>
      </c>
      <c r="G440" s="420">
        <v>10000</v>
      </c>
      <c r="H440" s="421"/>
      <c r="I440" s="36">
        <v>2380.15</v>
      </c>
      <c r="J440" s="23">
        <f t="shared" si="60"/>
        <v>0.238015</v>
      </c>
      <c r="K440" s="22">
        <v>0</v>
      </c>
    </row>
    <row r="441" spans="1:11" ht="14.4" customHeight="1" x14ac:dyDescent="0.25">
      <c r="A441" s="38"/>
      <c r="B441" s="98"/>
      <c r="C441" s="413"/>
      <c r="D441" s="413"/>
      <c r="E441" s="98" t="s">
        <v>68</v>
      </c>
      <c r="F441" s="21" t="s">
        <v>69</v>
      </c>
      <c r="G441" s="414">
        <v>581000</v>
      </c>
      <c r="H441" s="415"/>
      <c r="I441" s="22">
        <v>221532.65</v>
      </c>
      <c r="J441" s="23">
        <f t="shared" si="60"/>
        <v>0.38129543889845091</v>
      </c>
      <c r="K441" s="22">
        <v>14166.16</v>
      </c>
    </row>
    <row r="442" spans="1:11" ht="14.4" customHeight="1" x14ac:dyDescent="0.25">
      <c r="A442" s="38"/>
      <c r="B442" s="98"/>
      <c r="C442" s="413"/>
      <c r="D442" s="413"/>
      <c r="E442" s="98" t="s">
        <v>46</v>
      </c>
      <c r="F442" s="21" t="s">
        <v>47</v>
      </c>
      <c r="G442" s="414">
        <v>60000</v>
      </c>
      <c r="H442" s="415"/>
      <c r="I442" s="22">
        <v>30000</v>
      </c>
      <c r="J442" s="23">
        <f t="shared" si="60"/>
        <v>0.5</v>
      </c>
      <c r="K442" s="22">
        <v>0</v>
      </c>
    </row>
    <row r="443" spans="1:11" s="289" customFormat="1" ht="13.2" customHeight="1" x14ac:dyDescent="0.25">
      <c r="A443" s="38"/>
      <c r="B443" s="286"/>
      <c r="C443" s="292"/>
      <c r="D443" s="285"/>
      <c r="E443" s="285" t="s">
        <v>26</v>
      </c>
      <c r="F443" s="21" t="s">
        <v>27</v>
      </c>
      <c r="G443" s="282">
        <v>31000</v>
      </c>
      <c r="H443" s="283"/>
      <c r="I443" s="245">
        <v>7815.81</v>
      </c>
      <c r="J443" s="246">
        <f t="shared" si="60"/>
        <v>0.25212290322580644</v>
      </c>
      <c r="K443" s="245">
        <v>0</v>
      </c>
    </row>
    <row r="444" spans="1:11" s="367" customFormat="1" ht="24" customHeight="1" x14ac:dyDescent="0.25">
      <c r="A444" s="38"/>
      <c r="B444" s="349"/>
      <c r="C444" s="366"/>
      <c r="D444" s="348"/>
      <c r="E444" s="348" t="s">
        <v>17</v>
      </c>
      <c r="F444" s="222" t="s">
        <v>368</v>
      </c>
      <c r="G444" s="350">
        <v>112985.29</v>
      </c>
      <c r="H444" s="351"/>
      <c r="I444" s="245">
        <v>41708.6</v>
      </c>
      <c r="J444" s="246">
        <f t="shared" si="60"/>
        <v>0.36915070979593895</v>
      </c>
      <c r="K444" s="245">
        <v>0</v>
      </c>
    </row>
    <row r="445" spans="1:11" s="332" customFormat="1" ht="31.8" customHeight="1" x14ac:dyDescent="0.25">
      <c r="A445" s="38"/>
      <c r="B445" s="90"/>
      <c r="C445" s="451" t="s">
        <v>243</v>
      </c>
      <c r="D445" s="479"/>
      <c r="E445" s="155"/>
      <c r="F445" s="153" t="s">
        <v>244</v>
      </c>
      <c r="G445" s="480">
        <f>SUM(G446)</f>
        <v>50000</v>
      </c>
      <c r="H445" s="481"/>
      <c r="I445" s="331">
        <f>SUM(I446)</f>
        <v>40206</v>
      </c>
      <c r="J445" s="29">
        <f t="shared" ref="J445:J446" si="63">I445/G445</f>
        <v>0.80411999999999995</v>
      </c>
      <c r="K445" s="331">
        <f>SUM(K446:K446)</f>
        <v>0</v>
      </c>
    </row>
    <row r="446" spans="1:11" s="332" customFormat="1" ht="13.2" customHeight="1" x14ac:dyDescent="0.25">
      <c r="A446" s="38"/>
      <c r="B446" s="330"/>
      <c r="C446" s="413"/>
      <c r="D446" s="428"/>
      <c r="E446" s="247" t="s">
        <v>26</v>
      </c>
      <c r="F446" s="141" t="s">
        <v>27</v>
      </c>
      <c r="G446" s="414">
        <v>50000</v>
      </c>
      <c r="H446" s="415"/>
      <c r="I446" s="36">
        <v>40206</v>
      </c>
      <c r="J446" s="37">
        <f t="shared" si="63"/>
        <v>0.80411999999999995</v>
      </c>
      <c r="K446" s="245">
        <v>0</v>
      </c>
    </row>
    <row r="447" spans="1:11" ht="26.25" customHeight="1" x14ac:dyDescent="0.25">
      <c r="A447" s="38"/>
      <c r="B447" s="132"/>
      <c r="C447" s="136" t="s">
        <v>361</v>
      </c>
      <c r="D447" s="136"/>
      <c r="E447" s="136"/>
      <c r="F447" s="217" t="s">
        <v>362</v>
      </c>
      <c r="G447" s="33">
        <f>SUM(G448:G449)</f>
        <v>119597</v>
      </c>
      <c r="H447" s="291">
        <f t="shared" ref="H447:I447" si="64">SUM(H448:H449)</f>
        <v>0</v>
      </c>
      <c r="I447" s="291">
        <f t="shared" si="64"/>
        <v>54319.07</v>
      </c>
      <c r="J447" s="29">
        <f>SUM(I447/G447)</f>
        <v>0.45418421866769232</v>
      </c>
      <c r="K447" s="33">
        <v>0</v>
      </c>
    </row>
    <row r="448" spans="1:11" ht="18" customHeight="1" x14ac:dyDescent="0.25">
      <c r="A448" s="38"/>
      <c r="B448" s="131"/>
      <c r="C448" s="132"/>
      <c r="D448" s="42"/>
      <c r="E448" s="66" t="s">
        <v>24</v>
      </c>
      <c r="F448" s="45" t="s">
        <v>25</v>
      </c>
      <c r="G448" s="22">
        <v>18800</v>
      </c>
      <c r="H448" s="63"/>
      <c r="I448" s="211">
        <v>0</v>
      </c>
      <c r="J448" s="149">
        <f>I448/G448</f>
        <v>0</v>
      </c>
      <c r="K448" s="22">
        <v>0</v>
      </c>
    </row>
    <row r="449" spans="1:11" ht="13.5" customHeight="1" x14ac:dyDescent="0.25">
      <c r="A449" s="38"/>
      <c r="B449" s="131"/>
      <c r="C449" s="132"/>
      <c r="D449" s="42"/>
      <c r="E449" s="66" t="s">
        <v>26</v>
      </c>
      <c r="F449" s="45" t="s">
        <v>27</v>
      </c>
      <c r="G449" s="13">
        <v>100797</v>
      </c>
      <c r="H449" s="63"/>
      <c r="I449" s="212">
        <v>54319.07</v>
      </c>
      <c r="J449" s="149">
        <f>I449/G449</f>
        <v>0.53889570126095021</v>
      </c>
      <c r="K449" s="22">
        <v>0</v>
      </c>
    </row>
    <row r="450" spans="1:11" ht="13.95" customHeight="1" x14ac:dyDescent="0.25">
      <c r="A450" s="127"/>
      <c r="B450" s="20"/>
      <c r="C450" s="475" t="s">
        <v>171</v>
      </c>
      <c r="D450" s="476"/>
      <c r="E450" s="143"/>
      <c r="F450" s="28" t="s">
        <v>20</v>
      </c>
      <c r="G450" s="425">
        <f>SUM(G451+G452)</f>
        <v>3512238.5</v>
      </c>
      <c r="H450" s="477"/>
      <c r="I450" s="14">
        <f>SUM(I451+I452)</f>
        <v>12238.5</v>
      </c>
      <c r="J450" s="29">
        <f t="shared" ref="J450:J488" si="65">I450/G450</f>
        <v>3.4845298803028325E-3</v>
      </c>
      <c r="K450" s="33">
        <f>SUM(K452:K452)</f>
        <v>0</v>
      </c>
    </row>
    <row r="451" spans="1:11" s="367" customFormat="1" ht="13.95" customHeight="1" x14ac:dyDescent="0.25">
      <c r="A451" s="38"/>
      <c r="B451" s="20"/>
      <c r="C451" s="147"/>
      <c r="D451" s="94"/>
      <c r="E451" s="74" t="s">
        <v>26</v>
      </c>
      <c r="F451" s="21" t="s">
        <v>27</v>
      </c>
      <c r="G451" s="351">
        <v>12238.5</v>
      </c>
      <c r="H451" s="63"/>
      <c r="I451" s="245">
        <v>12238.5</v>
      </c>
      <c r="J451" s="37">
        <f t="shared" si="65"/>
        <v>1</v>
      </c>
      <c r="K451" s="36">
        <v>0</v>
      </c>
    </row>
    <row r="452" spans="1:11" ht="56.4" customHeight="1" x14ac:dyDescent="0.25">
      <c r="A452" s="38"/>
      <c r="B452" s="98"/>
      <c r="C452" s="98"/>
      <c r="D452" s="98"/>
      <c r="E452" s="285" t="s">
        <v>379</v>
      </c>
      <c r="F452" s="21" t="s">
        <v>380</v>
      </c>
      <c r="G452" s="169">
        <v>3500000</v>
      </c>
      <c r="H452" s="170"/>
      <c r="I452" s="22">
        <v>0</v>
      </c>
      <c r="J452" s="23">
        <f t="shared" si="65"/>
        <v>0</v>
      </c>
      <c r="K452" s="22">
        <v>0</v>
      </c>
    </row>
    <row r="453" spans="1:11" ht="27.6" customHeight="1" thickBot="1" x14ac:dyDescent="0.3">
      <c r="A453" s="38"/>
      <c r="B453" s="106" t="s">
        <v>174</v>
      </c>
      <c r="C453" s="430"/>
      <c r="D453" s="430"/>
      <c r="E453" s="106"/>
      <c r="F453" s="93" t="s">
        <v>175</v>
      </c>
      <c r="G453" s="422">
        <f>G455+G457+G459+G461</f>
        <v>2171416.35</v>
      </c>
      <c r="H453" s="423"/>
      <c r="I453" s="16">
        <f>I455+I457+I459+I461</f>
        <v>899987.27</v>
      </c>
      <c r="J453" s="19">
        <f t="shared" ref="J453:J460" si="66">I453/G453</f>
        <v>0.41447015446853386</v>
      </c>
      <c r="K453" s="16">
        <f>SUM(K455+K457+K459+K461)</f>
        <v>0</v>
      </c>
    </row>
    <row r="454" spans="1:11" s="367" customFormat="1" ht="18" customHeight="1" thickTop="1" x14ac:dyDescent="0.25">
      <c r="A454" s="38"/>
      <c r="B454" s="43" t="s">
        <v>199</v>
      </c>
      <c r="C454" s="43" t="s">
        <v>200</v>
      </c>
      <c r="D454" s="43"/>
      <c r="E454" s="43" t="s">
        <v>201</v>
      </c>
      <c r="F454" s="43" t="s">
        <v>202</v>
      </c>
      <c r="G454" s="57" t="s">
        <v>203</v>
      </c>
      <c r="H454" s="57"/>
      <c r="I454" s="44" t="s">
        <v>204</v>
      </c>
      <c r="J454" s="44" t="s">
        <v>205</v>
      </c>
      <c r="K454" s="412" t="s">
        <v>206</v>
      </c>
    </row>
    <row r="455" spans="1:11" ht="15" customHeight="1" x14ac:dyDescent="0.25">
      <c r="A455" s="38"/>
      <c r="B455" s="20"/>
      <c r="C455" s="419" t="s">
        <v>176</v>
      </c>
      <c r="D455" s="419"/>
      <c r="E455" s="39"/>
      <c r="F455" s="40" t="s">
        <v>177</v>
      </c>
      <c r="G455" s="424">
        <f>SUM(G456)</f>
        <v>850000</v>
      </c>
      <c r="H455" s="425"/>
      <c r="I455" s="14">
        <f>SUM(I456)</f>
        <v>425002</v>
      </c>
      <c r="J455" s="41">
        <f t="shared" si="66"/>
        <v>0.50000235294117645</v>
      </c>
      <c r="K455" s="14">
        <v>0</v>
      </c>
    </row>
    <row r="456" spans="1:11" ht="26.4" customHeight="1" x14ac:dyDescent="0.25">
      <c r="A456" s="38"/>
      <c r="B456" s="98"/>
      <c r="C456" s="413"/>
      <c r="D456" s="413"/>
      <c r="E456" s="34" t="s">
        <v>178</v>
      </c>
      <c r="F456" s="35" t="s">
        <v>179</v>
      </c>
      <c r="G456" s="420">
        <v>850000</v>
      </c>
      <c r="H456" s="421"/>
      <c r="I456" s="36">
        <v>425002</v>
      </c>
      <c r="J456" s="37">
        <f t="shared" si="66"/>
        <v>0.50000235294117645</v>
      </c>
      <c r="K456" s="22">
        <v>0</v>
      </c>
    </row>
    <row r="457" spans="1:11" ht="13.8" customHeight="1" x14ac:dyDescent="0.25">
      <c r="A457" s="38"/>
      <c r="B457" s="20"/>
      <c r="C457" s="416" t="s">
        <v>180</v>
      </c>
      <c r="D457" s="416"/>
      <c r="E457" s="27"/>
      <c r="F457" s="28" t="s">
        <v>181</v>
      </c>
      <c r="G457" s="417">
        <f>SUM(G458)</f>
        <v>568682</v>
      </c>
      <c r="H457" s="418"/>
      <c r="I457" s="260">
        <f>SUM(I458)</f>
        <v>284342</v>
      </c>
      <c r="J457" s="29">
        <f t="shared" ref="J457:J458" si="67">I457/G457</f>
        <v>0.50000175845199957</v>
      </c>
      <c r="K457" s="260">
        <v>0</v>
      </c>
    </row>
    <row r="458" spans="1:11" ht="24" customHeight="1" x14ac:dyDescent="0.25">
      <c r="A458" s="38"/>
      <c r="B458" s="255"/>
      <c r="C458" s="413"/>
      <c r="D458" s="413"/>
      <c r="E458" s="34" t="s">
        <v>178</v>
      </c>
      <c r="F458" s="35" t="s">
        <v>179</v>
      </c>
      <c r="G458" s="420">
        <v>568682</v>
      </c>
      <c r="H458" s="421"/>
      <c r="I458" s="36">
        <v>284342</v>
      </c>
      <c r="J458" s="37">
        <f t="shared" si="67"/>
        <v>0.50000175845199957</v>
      </c>
      <c r="K458" s="12">
        <v>0</v>
      </c>
    </row>
    <row r="459" spans="1:11" ht="14.4" customHeight="1" x14ac:dyDescent="0.25">
      <c r="A459" s="38"/>
      <c r="B459" s="20"/>
      <c r="C459" s="416" t="s">
        <v>182</v>
      </c>
      <c r="D459" s="416"/>
      <c r="E459" s="27"/>
      <c r="F459" s="28" t="s">
        <v>183</v>
      </c>
      <c r="G459" s="417">
        <v>10000</v>
      </c>
      <c r="H459" s="418"/>
      <c r="I459" s="33">
        <v>0</v>
      </c>
      <c r="J459" s="29">
        <f t="shared" si="66"/>
        <v>0</v>
      </c>
      <c r="K459" s="14">
        <v>0</v>
      </c>
    </row>
    <row r="460" spans="1:11" ht="56.4" customHeight="1" x14ac:dyDescent="0.25">
      <c r="A460" s="38"/>
      <c r="B460" s="98"/>
      <c r="C460" s="413"/>
      <c r="D460" s="413"/>
      <c r="E460" s="34" t="s">
        <v>185</v>
      </c>
      <c r="F460" s="35" t="s">
        <v>421</v>
      </c>
      <c r="G460" s="420">
        <v>10000</v>
      </c>
      <c r="H460" s="421"/>
      <c r="I460" s="36">
        <v>0</v>
      </c>
      <c r="J460" s="37">
        <f t="shared" si="66"/>
        <v>0</v>
      </c>
      <c r="K460" s="12">
        <v>0</v>
      </c>
    </row>
    <row r="461" spans="1:11" ht="15.75" customHeight="1" x14ac:dyDescent="0.25">
      <c r="A461" s="38"/>
      <c r="B461" s="20"/>
      <c r="C461" s="416" t="s">
        <v>186</v>
      </c>
      <c r="D461" s="416"/>
      <c r="E461" s="27"/>
      <c r="F461" s="28" t="s">
        <v>20</v>
      </c>
      <c r="G461" s="417">
        <f>SUM(G462+G464+G465+G467+G469+G470+G468+G463+G466)</f>
        <v>742734.35</v>
      </c>
      <c r="H461" s="418"/>
      <c r="I461" s="33">
        <f>SUM(I462+I464+I465+I467+I469+I470+I463+I468+I466)</f>
        <v>190643.27000000002</v>
      </c>
      <c r="J461" s="29">
        <f t="shared" si="65"/>
        <v>0.25667759946742741</v>
      </c>
      <c r="K461" s="14">
        <f>SUM(K464:K469)</f>
        <v>0</v>
      </c>
    </row>
    <row r="462" spans="1:11" ht="64.2" customHeight="1" x14ac:dyDescent="0.25">
      <c r="A462" s="38"/>
      <c r="B462" s="20"/>
      <c r="C462" s="58"/>
      <c r="D462" s="58"/>
      <c r="E462" s="124" t="s">
        <v>343</v>
      </c>
      <c r="F462" s="70" t="s">
        <v>422</v>
      </c>
      <c r="G462" s="208">
        <v>5500</v>
      </c>
      <c r="H462" s="209"/>
      <c r="I462" s="36">
        <v>5500</v>
      </c>
      <c r="J462" s="37">
        <f t="shared" si="65"/>
        <v>1</v>
      </c>
      <c r="K462" s="22">
        <v>0</v>
      </c>
    </row>
    <row r="463" spans="1:11" s="289" customFormat="1" ht="16.8" customHeight="1" x14ac:dyDescent="0.25">
      <c r="A463" s="38"/>
      <c r="B463" s="20"/>
      <c r="C463" s="293"/>
      <c r="D463" s="293"/>
      <c r="E463" s="74" t="s">
        <v>22</v>
      </c>
      <c r="F463" s="9" t="s">
        <v>23</v>
      </c>
      <c r="G463" s="282">
        <v>7250</v>
      </c>
      <c r="H463" s="283"/>
      <c r="I463" s="245">
        <v>2850</v>
      </c>
      <c r="J463" s="246">
        <f t="shared" si="65"/>
        <v>0.39310344827586208</v>
      </c>
      <c r="K463" s="245">
        <v>0</v>
      </c>
    </row>
    <row r="464" spans="1:11" ht="13.2" customHeight="1" x14ac:dyDescent="0.25">
      <c r="A464" s="38"/>
      <c r="B464" s="98"/>
      <c r="C464" s="413"/>
      <c r="D464" s="413"/>
      <c r="E464" s="98" t="s">
        <v>24</v>
      </c>
      <c r="F464" s="21" t="s">
        <v>25</v>
      </c>
      <c r="G464" s="414">
        <v>78930.59</v>
      </c>
      <c r="H464" s="415"/>
      <c r="I464" s="22">
        <v>15477.41</v>
      </c>
      <c r="J464" s="23">
        <f t="shared" si="65"/>
        <v>0.19608886744670223</v>
      </c>
      <c r="K464" s="22">
        <v>0</v>
      </c>
    </row>
    <row r="465" spans="1:11" ht="14.4" customHeight="1" x14ac:dyDescent="0.25">
      <c r="A465" s="38"/>
      <c r="B465" s="98"/>
      <c r="C465" s="413"/>
      <c r="D465" s="413"/>
      <c r="E465" s="98" t="s">
        <v>68</v>
      </c>
      <c r="F465" s="21" t="s">
        <v>69</v>
      </c>
      <c r="G465" s="414">
        <v>30500</v>
      </c>
      <c r="H465" s="415"/>
      <c r="I465" s="22">
        <v>24446.65</v>
      </c>
      <c r="J465" s="23">
        <f t="shared" si="65"/>
        <v>0.80152950819672131</v>
      </c>
      <c r="K465" s="56">
        <v>0</v>
      </c>
    </row>
    <row r="466" spans="1:11" s="367" customFormat="1" ht="13.8" customHeight="1" x14ac:dyDescent="0.25">
      <c r="A466" s="38"/>
      <c r="B466" s="348"/>
      <c r="C466" s="348"/>
      <c r="D466" s="348"/>
      <c r="E466" s="348" t="s">
        <v>46</v>
      </c>
      <c r="F466" s="21" t="s">
        <v>47</v>
      </c>
      <c r="G466" s="350">
        <v>108754.41</v>
      </c>
      <c r="H466" s="351"/>
      <c r="I466" s="245">
        <v>4920</v>
      </c>
      <c r="J466" s="246">
        <f t="shared" si="65"/>
        <v>4.5239544768805234E-2</v>
      </c>
      <c r="K466" s="56">
        <v>0</v>
      </c>
    </row>
    <row r="467" spans="1:11" ht="13.8" customHeight="1" x14ac:dyDescent="0.25">
      <c r="A467" s="38"/>
      <c r="B467" s="98"/>
      <c r="C467" s="413"/>
      <c r="D467" s="413"/>
      <c r="E467" s="98" t="s">
        <v>26</v>
      </c>
      <c r="F467" s="21" t="s">
        <v>27</v>
      </c>
      <c r="G467" s="414">
        <v>61500</v>
      </c>
      <c r="H467" s="415"/>
      <c r="I467" s="22">
        <v>23832.41</v>
      </c>
      <c r="J467" s="23">
        <f t="shared" si="65"/>
        <v>0.38751886178861789</v>
      </c>
      <c r="K467" s="22">
        <v>0</v>
      </c>
    </row>
    <row r="468" spans="1:11" s="289" customFormat="1" ht="24" customHeight="1" x14ac:dyDescent="0.25">
      <c r="A468" s="38"/>
      <c r="B468" s="285"/>
      <c r="C468" s="285"/>
      <c r="D468" s="285"/>
      <c r="E468" s="285" t="s">
        <v>72</v>
      </c>
      <c r="F468" s="21" t="s">
        <v>214</v>
      </c>
      <c r="G468" s="282">
        <v>1500</v>
      </c>
      <c r="H468" s="283"/>
      <c r="I468" s="245">
        <v>664.01</v>
      </c>
      <c r="J468" s="246">
        <f t="shared" si="65"/>
        <v>0.44267333333333331</v>
      </c>
      <c r="K468" s="56">
        <v>0</v>
      </c>
    </row>
    <row r="469" spans="1:11" ht="22.2" customHeight="1" x14ac:dyDescent="0.25">
      <c r="A469" s="38"/>
      <c r="B469" s="241"/>
      <c r="C469" s="241"/>
      <c r="D469" s="241"/>
      <c r="E469" s="241" t="s">
        <v>248</v>
      </c>
      <c r="F469" s="21" t="s">
        <v>247</v>
      </c>
      <c r="G469" s="242">
        <v>2079.79</v>
      </c>
      <c r="H469" s="243"/>
      <c r="I469" s="245">
        <v>2079.79</v>
      </c>
      <c r="J469" s="246">
        <f t="shared" si="65"/>
        <v>1</v>
      </c>
      <c r="K469" s="56">
        <v>0</v>
      </c>
    </row>
    <row r="470" spans="1:11" ht="22.2" customHeight="1" x14ac:dyDescent="0.25">
      <c r="A470" s="38"/>
      <c r="B470" s="221"/>
      <c r="C470" s="221"/>
      <c r="D470" s="221"/>
      <c r="E470" s="221" t="s">
        <v>17</v>
      </c>
      <c r="F470" s="222" t="s">
        <v>368</v>
      </c>
      <c r="G470" s="223">
        <v>446719.56</v>
      </c>
      <c r="H470" s="223"/>
      <c r="I470" s="223">
        <v>110873</v>
      </c>
      <c r="J470" s="253">
        <f t="shared" si="65"/>
        <v>0.24819374374383785</v>
      </c>
      <c r="K470" s="254">
        <v>0</v>
      </c>
    </row>
    <row r="471" spans="1:11" ht="14.4" customHeight="1" thickBot="1" x14ac:dyDescent="0.3">
      <c r="A471" s="38"/>
      <c r="B471" s="104" t="s">
        <v>190</v>
      </c>
      <c r="C471" s="465"/>
      <c r="D471" s="465"/>
      <c r="E471" s="104"/>
      <c r="F471" s="47" t="s">
        <v>191</v>
      </c>
      <c r="G471" s="466">
        <f>G472+G474</f>
        <v>1513405.14</v>
      </c>
      <c r="H471" s="467"/>
      <c r="I471" s="10">
        <f>I472+I474</f>
        <v>80867.16</v>
      </c>
      <c r="J471" s="48">
        <f t="shared" si="65"/>
        <v>5.343391393529958E-2</v>
      </c>
      <c r="K471" s="10">
        <f>SUM(K472+K474)</f>
        <v>12865.8</v>
      </c>
    </row>
    <row r="472" spans="1:11" ht="17.100000000000001" customHeight="1" thickTop="1" x14ac:dyDescent="0.25">
      <c r="A472" s="38"/>
      <c r="B472" s="125"/>
      <c r="C472" s="68" t="s">
        <v>344</v>
      </c>
      <c r="D472" s="117"/>
      <c r="E472" s="117"/>
      <c r="F472" s="126" t="s">
        <v>345</v>
      </c>
      <c r="G472" s="203">
        <f>SUM(G473)</f>
        <v>80000</v>
      </c>
      <c r="H472" s="213"/>
      <c r="I472" s="53">
        <f>SUM(I473)</f>
        <v>40000</v>
      </c>
      <c r="J472" s="116">
        <f t="shared" si="65"/>
        <v>0.5</v>
      </c>
      <c r="K472" s="53">
        <v>0</v>
      </c>
    </row>
    <row r="473" spans="1:11" ht="36.75" customHeight="1" x14ac:dyDescent="0.25">
      <c r="A473" s="38"/>
      <c r="B473" s="107"/>
      <c r="C473" s="107"/>
      <c r="D473" s="107"/>
      <c r="E473" s="318" t="s">
        <v>187</v>
      </c>
      <c r="F473" s="70" t="s">
        <v>188</v>
      </c>
      <c r="G473" s="319">
        <v>80000</v>
      </c>
      <c r="H473" s="329"/>
      <c r="I473" s="245">
        <v>40000</v>
      </c>
      <c r="J473" s="246">
        <f t="shared" si="65"/>
        <v>0.5</v>
      </c>
      <c r="K473" s="245">
        <v>0</v>
      </c>
    </row>
    <row r="474" spans="1:11" s="332" customFormat="1" ht="15" customHeight="1" x14ac:dyDescent="0.25">
      <c r="A474" s="38"/>
      <c r="B474" s="90"/>
      <c r="C474" s="454" t="s">
        <v>192</v>
      </c>
      <c r="D474" s="454"/>
      <c r="E474" s="91"/>
      <c r="F474" s="73" t="s">
        <v>20</v>
      </c>
      <c r="G474" s="455">
        <f>SUM(G475+G476+G477+G478+G479+G480)</f>
        <v>1433405.14</v>
      </c>
      <c r="H474" s="455"/>
      <c r="I474" s="331">
        <f>SUM(I475+I476+I477+I478+I479+I480)</f>
        <v>40867.160000000003</v>
      </c>
      <c r="J474" s="29">
        <f>I474/G474</f>
        <v>2.8510543781083419E-2</v>
      </c>
      <c r="K474" s="331">
        <f>SUM(K475+K476+K477+K478+K479+K480)</f>
        <v>12865.8</v>
      </c>
    </row>
    <row r="475" spans="1:11" s="332" customFormat="1" ht="15" customHeight="1" x14ac:dyDescent="0.25">
      <c r="A475" s="38"/>
      <c r="B475" s="333"/>
      <c r="C475" s="459"/>
      <c r="D475" s="459"/>
      <c r="E475" s="333" t="s">
        <v>22</v>
      </c>
      <c r="F475" s="9" t="s">
        <v>23</v>
      </c>
      <c r="G475" s="468">
        <v>21300</v>
      </c>
      <c r="H475" s="469"/>
      <c r="I475" s="181">
        <v>6900</v>
      </c>
      <c r="J475" s="8">
        <f t="shared" ref="J475:J476" si="68">I475/G475</f>
        <v>0.323943661971831</v>
      </c>
      <c r="K475" s="7">
        <v>0</v>
      </c>
    </row>
    <row r="476" spans="1:11" s="332" customFormat="1" ht="16.8" customHeight="1" x14ac:dyDescent="0.25">
      <c r="A476" s="38"/>
      <c r="B476" s="333"/>
      <c r="C476" s="459"/>
      <c r="D476" s="459"/>
      <c r="E476" s="333" t="s">
        <v>24</v>
      </c>
      <c r="F476" s="9" t="s">
        <v>25</v>
      </c>
      <c r="G476" s="160">
        <v>20000</v>
      </c>
      <c r="H476" s="164" t="s">
        <v>250</v>
      </c>
      <c r="I476" s="181">
        <v>5510.61</v>
      </c>
      <c r="J476" s="8">
        <f t="shared" si="68"/>
        <v>0.27553049999999996</v>
      </c>
      <c r="K476" s="7">
        <v>565.79999999999995</v>
      </c>
    </row>
    <row r="477" spans="1:11" ht="14.25" customHeight="1" x14ac:dyDescent="0.25">
      <c r="A477" s="100"/>
      <c r="B477" s="105"/>
      <c r="C477" s="459"/>
      <c r="D477" s="459"/>
      <c r="E477" s="105" t="s">
        <v>68</v>
      </c>
      <c r="F477" s="9" t="s">
        <v>69</v>
      </c>
      <c r="G477" s="160">
        <v>30000</v>
      </c>
      <c r="H477" s="162" t="s">
        <v>184</v>
      </c>
      <c r="I477" s="181">
        <v>13435.75</v>
      </c>
      <c r="J477" s="8">
        <f t="shared" si="65"/>
        <v>0.44785833333333336</v>
      </c>
      <c r="K477" s="7">
        <v>0</v>
      </c>
    </row>
    <row r="478" spans="1:11" ht="14.25" customHeight="1" x14ac:dyDescent="0.25">
      <c r="A478" s="100"/>
      <c r="B478" s="105"/>
      <c r="C478" s="459"/>
      <c r="D478" s="459"/>
      <c r="E478" s="105" t="s">
        <v>26</v>
      </c>
      <c r="F478" s="9" t="s">
        <v>27</v>
      </c>
      <c r="G478" s="160">
        <v>20000</v>
      </c>
      <c r="H478" s="162" t="s">
        <v>269</v>
      </c>
      <c r="I478" s="214">
        <v>2720.8</v>
      </c>
      <c r="J478" s="8">
        <f t="shared" si="65"/>
        <v>0.13604000000000002</v>
      </c>
      <c r="K478" s="7">
        <v>0</v>
      </c>
    </row>
    <row r="479" spans="1:11" s="367" customFormat="1" ht="22.2" customHeight="1" x14ac:dyDescent="0.25">
      <c r="A479" s="359"/>
      <c r="B479" s="405"/>
      <c r="C479" s="405"/>
      <c r="D479" s="404"/>
      <c r="E479" s="409" t="s">
        <v>17</v>
      </c>
      <c r="F479" s="407" t="s">
        <v>368</v>
      </c>
      <c r="G479" s="160">
        <v>1322105.1399999999</v>
      </c>
      <c r="H479" s="180"/>
      <c r="I479" s="214">
        <v>12300</v>
      </c>
      <c r="J479" s="8">
        <f t="shared" si="65"/>
        <v>9.303344815677822E-3</v>
      </c>
      <c r="K479" s="7">
        <v>12300</v>
      </c>
    </row>
    <row r="480" spans="1:11" s="367" customFormat="1" ht="24.6" customHeight="1" thickBot="1" x14ac:dyDescent="0.3">
      <c r="A480" s="359"/>
      <c r="B480" s="406"/>
      <c r="C480" s="406"/>
      <c r="D480" s="404"/>
      <c r="E480" s="410" t="s">
        <v>391</v>
      </c>
      <c r="F480" s="408" t="s">
        <v>400</v>
      </c>
      <c r="G480" s="160">
        <v>20000</v>
      </c>
      <c r="H480" s="180"/>
      <c r="I480" s="214">
        <v>0</v>
      </c>
      <c r="J480" s="8">
        <f t="shared" si="65"/>
        <v>0</v>
      </c>
      <c r="K480" s="411">
        <v>0</v>
      </c>
    </row>
    <row r="481" spans="1:18" ht="14.25" customHeight="1" thickBot="1" x14ac:dyDescent="0.3">
      <c r="A481" s="100"/>
      <c r="B481" s="460" t="s">
        <v>369</v>
      </c>
      <c r="C481" s="461"/>
      <c r="D481" s="461"/>
      <c r="E481" s="461"/>
      <c r="F481" s="462"/>
      <c r="G481" s="463">
        <f>SUM(G7+G26+G42+G46+G51+G120+G125+G148+G151+G154+G269+G288+G345+G349+G410+G453+G471+G341+G144+G22)</f>
        <v>71675486.920000002</v>
      </c>
      <c r="H481" s="464"/>
      <c r="I481" s="334">
        <f>SUM(I7+I26+I42+I46+I51+I120+I125+I148+I151+I154+I269+I288+I345+I349+I410+I453+I471+I22+I144+I341)</f>
        <v>30952236.530000005</v>
      </c>
      <c r="J481" s="75">
        <f t="shared" si="65"/>
        <v>0.43183852471831946</v>
      </c>
      <c r="K481" s="76">
        <f>SUM(K410+K288+K269+K154+K148+K125+K120+K51+K46+K26+K7+K453+K349+K471+K42)</f>
        <v>748217.35</v>
      </c>
      <c r="L481" s="17"/>
      <c r="M481" s="17"/>
      <c r="N481" s="17"/>
      <c r="O481" s="17"/>
      <c r="P481" s="17"/>
      <c r="Q481" s="17"/>
      <c r="R481" s="17"/>
    </row>
    <row r="482" spans="1:18" ht="12.75" customHeight="1" x14ac:dyDescent="0.25">
      <c r="A482" s="100"/>
      <c r="B482" s="77"/>
      <c r="C482" s="77"/>
      <c r="D482" s="77"/>
      <c r="E482" s="78"/>
      <c r="F482" s="313" t="s">
        <v>207</v>
      </c>
      <c r="G482" s="314">
        <v>53668251.909999996</v>
      </c>
      <c r="H482" s="314"/>
      <c r="I482" s="315">
        <v>29591972.890000001</v>
      </c>
      <c r="J482" s="316">
        <f t="shared" si="65"/>
        <v>0.55138693430195618</v>
      </c>
      <c r="K482" s="328">
        <f>SUM(K481-K487)</f>
        <v>735917.35</v>
      </c>
      <c r="L482" s="17"/>
      <c r="M482" s="17"/>
      <c r="N482" s="17"/>
      <c r="O482" s="17"/>
      <c r="P482" s="17"/>
      <c r="Q482" s="17"/>
      <c r="R482" s="17"/>
    </row>
    <row r="483" spans="1:18" ht="12.75" customHeight="1" x14ac:dyDescent="0.25">
      <c r="A483" s="100"/>
      <c r="B483" s="77"/>
      <c r="C483" s="77"/>
      <c r="D483" s="77"/>
      <c r="E483" s="78"/>
      <c r="F483" s="320" t="s">
        <v>208</v>
      </c>
      <c r="G483" s="224">
        <v>24513455.43</v>
      </c>
      <c r="H483" s="224"/>
      <c r="I483" s="327">
        <v>12650507.880000001</v>
      </c>
      <c r="J483" s="312">
        <f t="shared" si="65"/>
        <v>0.51606383751668428</v>
      </c>
      <c r="K483" s="226">
        <v>446202.62</v>
      </c>
      <c r="L483" s="17"/>
      <c r="M483" s="17"/>
      <c r="N483" s="17"/>
      <c r="O483" s="17"/>
      <c r="P483" s="17"/>
      <c r="Q483" s="17"/>
      <c r="R483" s="17"/>
    </row>
    <row r="484" spans="1:18" ht="14.25" customHeight="1" x14ac:dyDescent="0.25">
      <c r="A484" s="100"/>
      <c r="B484" s="77"/>
      <c r="C484" s="77"/>
      <c r="D484" s="77"/>
      <c r="E484" s="78"/>
      <c r="F484" s="320" t="s">
        <v>209</v>
      </c>
      <c r="G484" s="224">
        <v>2080659</v>
      </c>
      <c r="H484" s="224"/>
      <c r="I484" s="326">
        <v>986883</v>
      </c>
      <c r="J484" s="312">
        <f t="shared" si="65"/>
        <v>0.47431270573409673</v>
      </c>
      <c r="K484" s="226">
        <v>0</v>
      </c>
      <c r="L484" s="17"/>
      <c r="M484" s="17"/>
      <c r="N484" s="17"/>
      <c r="O484" s="17"/>
      <c r="P484" s="17"/>
      <c r="Q484" s="17"/>
      <c r="R484" s="17"/>
    </row>
    <row r="485" spans="1:18" ht="14.25" customHeight="1" x14ac:dyDescent="0.25">
      <c r="A485" s="100"/>
      <c r="B485" s="77"/>
      <c r="C485" s="77"/>
      <c r="D485" s="77"/>
      <c r="E485" s="78"/>
      <c r="F485" s="320" t="s">
        <v>210</v>
      </c>
      <c r="G485" s="224">
        <v>13894648.15</v>
      </c>
      <c r="H485" s="224"/>
      <c r="I485" s="225">
        <f>SUM(I307+I304+I299+I301+I191+I180+I156+I114+I115+I67+I62+I262+I347+I333+I352+I362+I384+I127+I249+I238+I375+I386+I96+I390+I325+I335+I408)</f>
        <v>9938629.040000001</v>
      </c>
      <c r="J485" s="228">
        <f t="shared" si="65"/>
        <v>0.71528468606813922</v>
      </c>
      <c r="K485" s="226">
        <v>14918.05</v>
      </c>
      <c r="L485" s="17"/>
      <c r="M485" s="17"/>
      <c r="N485" s="17"/>
      <c r="O485" s="17"/>
      <c r="P485" s="17"/>
      <c r="Q485" s="17"/>
      <c r="R485" s="17"/>
    </row>
    <row r="486" spans="1:18" ht="12.75" customHeight="1" x14ac:dyDescent="0.25">
      <c r="A486" s="100"/>
      <c r="B486" s="77"/>
      <c r="C486" s="77"/>
      <c r="D486" s="77"/>
      <c r="E486" s="78"/>
      <c r="F486" s="227" t="s">
        <v>211</v>
      </c>
      <c r="G486" s="224">
        <v>1070000</v>
      </c>
      <c r="H486" s="224"/>
      <c r="I486" s="225">
        <v>486345.1</v>
      </c>
      <c r="J486" s="228">
        <f t="shared" si="65"/>
        <v>0.45452813084112148</v>
      </c>
      <c r="K486" s="226">
        <v>0</v>
      </c>
      <c r="L486" s="17"/>
      <c r="M486" s="17"/>
      <c r="N486" s="17"/>
      <c r="O486" s="17"/>
      <c r="P486" s="17"/>
      <c r="Q486" s="17"/>
      <c r="R486" s="17"/>
    </row>
    <row r="487" spans="1:18" ht="15.75" customHeight="1" x14ac:dyDescent="0.25">
      <c r="A487" s="100"/>
      <c r="B487" s="77"/>
      <c r="C487" s="77"/>
      <c r="D487" s="77"/>
      <c r="E487" s="78"/>
      <c r="F487" s="311" t="s">
        <v>346</v>
      </c>
      <c r="G487" s="224">
        <v>18007235.010000002</v>
      </c>
      <c r="H487" s="224"/>
      <c r="I487" s="225">
        <v>1360263.64</v>
      </c>
      <c r="J487" s="312">
        <f t="shared" si="65"/>
        <v>7.5539839361490058E-2</v>
      </c>
      <c r="K487" s="226">
        <v>12300</v>
      </c>
      <c r="L487" s="17"/>
      <c r="M487" s="17"/>
      <c r="N487" s="17"/>
      <c r="O487" s="17"/>
      <c r="P487" s="17"/>
      <c r="Q487" s="17"/>
      <c r="R487" s="17"/>
    </row>
    <row r="488" spans="1:18" ht="21.6" customHeight="1" thickBot="1" x14ac:dyDescent="0.3">
      <c r="A488" s="11"/>
      <c r="B488" s="15"/>
      <c r="C488" s="15"/>
      <c r="D488" s="15"/>
      <c r="E488" s="15"/>
      <c r="F488" s="321" t="s">
        <v>240</v>
      </c>
      <c r="G488" s="322">
        <v>73637.5</v>
      </c>
      <c r="H488" s="322"/>
      <c r="I488" s="323">
        <v>0</v>
      </c>
      <c r="J488" s="324">
        <f t="shared" si="65"/>
        <v>0</v>
      </c>
      <c r="K488" s="325">
        <v>0</v>
      </c>
    </row>
    <row r="489" spans="1:18" ht="15.75" customHeight="1" x14ac:dyDescent="0.25">
      <c r="A489" s="458"/>
      <c r="B489" s="458"/>
      <c r="C489" s="458"/>
      <c r="D489" s="458"/>
      <c r="E489" s="458"/>
      <c r="F489" s="458"/>
      <c r="G489" s="458"/>
      <c r="H489" s="458"/>
      <c r="J489" s="128"/>
      <c r="K489" s="128"/>
    </row>
    <row r="490" spans="1:18" x14ac:dyDescent="0.25">
      <c r="A490" s="458"/>
      <c r="B490" s="458"/>
      <c r="C490" s="458"/>
      <c r="D490" s="458"/>
      <c r="E490" s="458"/>
      <c r="F490" s="458"/>
      <c r="G490" s="458"/>
      <c r="H490" s="458"/>
    </row>
    <row r="491" spans="1:18" x14ac:dyDescent="0.25">
      <c r="G491" s="317"/>
      <c r="I491" s="317"/>
    </row>
  </sheetData>
  <mergeCells count="402">
    <mergeCell ref="G410:H410"/>
    <mergeCell ref="C426:D426"/>
    <mergeCell ref="G389:H389"/>
    <mergeCell ref="C390:D390"/>
    <mergeCell ref="G390:H390"/>
    <mergeCell ref="C391:D391"/>
    <mergeCell ref="C393:D393"/>
    <mergeCell ref="C394:D394"/>
    <mergeCell ref="C396:D396"/>
    <mergeCell ref="C397:D397"/>
    <mergeCell ref="C404:D404"/>
    <mergeCell ref="C389:D389"/>
    <mergeCell ref="C67:D67"/>
    <mergeCell ref="C68:D68"/>
    <mergeCell ref="C70:D70"/>
    <mergeCell ref="C71:D71"/>
    <mergeCell ref="C72:D72"/>
    <mergeCell ref="C73:D73"/>
    <mergeCell ref="C79:D79"/>
    <mergeCell ref="C379:D379"/>
    <mergeCell ref="C363:D363"/>
    <mergeCell ref="C367:D367"/>
    <mergeCell ref="C361:D361"/>
    <mergeCell ref="C362:D362"/>
    <mergeCell ref="C360:D360"/>
    <mergeCell ref="C377:D377"/>
    <mergeCell ref="C378:D378"/>
    <mergeCell ref="C309:D309"/>
    <mergeCell ref="C314:D314"/>
    <mergeCell ref="C300:D300"/>
    <mergeCell ref="C277:D277"/>
    <mergeCell ref="C261:D261"/>
    <mergeCell ref="C262:D262"/>
    <mergeCell ref="C269:D269"/>
    <mergeCell ref="C192:D192"/>
    <mergeCell ref="C193:D193"/>
    <mergeCell ref="C22:D22"/>
    <mergeCell ref="G22:H22"/>
    <mergeCell ref="C23:D23"/>
    <mergeCell ref="C24:D24"/>
    <mergeCell ref="C144:D144"/>
    <mergeCell ref="G144:H144"/>
    <mergeCell ref="C145:D145"/>
    <mergeCell ref="G145:H145"/>
    <mergeCell ref="C80:D80"/>
    <mergeCell ref="C85:D85"/>
    <mergeCell ref="C86:D86"/>
    <mergeCell ref="C122:D122"/>
    <mergeCell ref="C115:D115"/>
    <mergeCell ref="C88:D88"/>
    <mergeCell ref="G66:H66"/>
    <mergeCell ref="G92:H92"/>
    <mergeCell ref="G126:H126"/>
    <mergeCell ref="G125:H125"/>
    <mergeCell ref="G113:H113"/>
    <mergeCell ref="G114:H114"/>
    <mergeCell ref="G122:H122"/>
    <mergeCell ref="G124:H124"/>
    <mergeCell ref="G121:H121"/>
    <mergeCell ref="G115:H115"/>
    <mergeCell ref="C453:D453"/>
    <mergeCell ref="G455:H455"/>
    <mergeCell ref="C456:D456"/>
    <mergeCell ref="C442:D442"/>
    <mergeCell ref="G458:H458"/>
    <mergeCell ref="C445:D445"/>
    <mergeCell ref="G445:H445"/>
    <mergeCell ref="C446:D446"/>
    <mergeCell ref="G446:H446"/>
    <mergeCell ref="C450:D450"/>
    <mergeCell ref="G450:H450"/>
    <mergeCell ref="G441:H441"/>
    <mergeCell ref="G415:H415"/>
    <mergeCell ref="C423:D423"/>
    <mergeCell ref="G439:H439"/>
    <mergeCell ref="G440:H440"/>
    <mergeCell ref="C439:D439"/>
    <mergeCell ref="G428:H428"/>
    <mergeCell ref="C440:D440"/>
    <mergeCell ref="C441:D441"/>
    <mergeCell ref="G442:H442"/>
    <mergeCell ref="C415:D415"/>
    <mergeCell ref="I1:Q1"/>
    <mergeCell ref="B2:K2"/>
    <mergeCell ref="E3:J3"/>
    <mergeCell ref="B4:K4"/>
    <mergeCell ref="C428:D428"/>
    <mergeCell ref="C411:D411"/>
    <mergeCell ref="C347:D347"/>
    <mergeCell ref="C345:D345"/>
    <mergeCell ref="G345:H345"/>
    <mergeCell ref="C346:D346"/>
    <mergeCell ref="G411:H411"/>
    <mergeCell ref="C410:D410"/>
    <mergeCell ref="C383:D383"/>
    <mergeCell ref="G383:H383"/>
    <mergeCell ref="C384:D384"/>
    <mergeCell ref="C330:D330"/>
    <mergeCell ref="G330:H330"/>
    <mergeCell ref="C334:D334"/>
    <mergeCell ref="G347:H347"/>
    <mergeCell ref="G346:H346"/>
    <mergeCell ref="G334:H334"/>
    <mergeCell ref="C399:D399"/>
    <mergeCell ref="C400:D400"/>
    <mergeCell ref="C401:D401"/>
    <mergeCell ref="A490:H490"/>
    <mergeCell ref="C467:D467"/>
    <mergeCell ref="G467:H467"/>
    <mergeCell ref="C478:D478"/>
    <mergeCell ref="A489:H489"/>
    <mergeCell ref="B481:F481"/>
    <mergeCell ref="G481:H481"/>
    <mergeCell ref="C477:D477"/>
    <mergeCell ref="C476:D476"/>
    <mergeCell ref="C471:D471"/>
    <mergeCell ref="G471:H471"/>
    <mergeCell ref="C474:D474"/>
    <mergeCell ref="G474:H474"/>
    <mergeCell ref="C475:D475"/>
    <mergeCell ref="G475:H475"/>
    <mergeCell ref="G378:H378"/>
    <mergeCell ref="C382:D382"/>
    <mergeCell ref="G382:H382"/>
    <mergeCell ref="G316:H316"/>
    <mergeCell ref="C376:D376"/>
    <mergeCell ref="G321:H321"/>
    <mergeCell ref="C320:D320"/>
    <mergeCell ref="C342:D342"/>
    <mergeCell ref="C343:D343"/>
    <mergeCell ref="G343:H343"/>
    <mergeCell ref="G335:H335"/>
    <mergeCell ref="G336:H336"/>
    <mergeCell ref="G337:H337"/>
    <mergeCell ref="G339:H339"/>
    <mergeCell ref="G340:H340"/>
    <mergeCell ref="C341:D341"/>
    <mergeCell ref="G341:H341"/>
    <mergeCell ref="G379:H379"/>
    <mergeCell ref="G376:H376"/>
    <mergeCell ref="G377:H377"/>
    <mergeCell ref="C308:D308"/>
    <mergeCell ref="G308:H308"/>
    <mergeCell ref="G301:H301"/>
    <mergeCell ref="G314:H314"/>
    <mergeCell ref="C315:D315"/>
    <mergeCell ref="G315:H315"/>
    <mergeCell ref="G328:H328"/>
    <mergeCell ref="C316:D316"/>
    <mergeCell ref="C312:D312"/>
    <mergeCell ref="G312:H312"/>
    <mergeCell ref="G313:H313"/>
    <mergeCell ref="G324:H324"/>
    <mergeCell ref="G319:H319"/>
    <mergeCell ref="C318:D318"/>
    <mergeCell ref="C322:D322"/>
    <mergeCell ref="G322:H322"/>
    <mergeCell ref="G318:H318"/>
    <mergeCell ref="C313:D313"/>
    <mergeCell ref="C307:D307"/>
    <mergeCell ref="C293:D293"/>
    <mergeCell ref="G293:H293"/>
    <mergeCell ref="C294:D294"/>
    <mergeCell ref="G294:H294"/>
    <mergeCell ref="C301:D301"/>
    <mergeCell ref="C297:D297"/>
    <mergeCell ref="G299:H299"/>
    <mergeCell ref="G300:H300"/>
    <mergeCell ref="C302:D302"/>
    <mergeCell ref="G302:H302"/>
    <mergeCell ref="G307:H307"/>
    <mergeCell ref="C304:D304"/>
    <mergeCell ref="C306:D306"/>
    <mergeCell ref="G306:H306"/>
    <mergeCell ref="C295:D295"/>
    <mergeCell ref="G295:H295"/>
    <mergeCell ref="G304:H304"/>
    <mergeCell ref="G297:H297"/>
    <mergeCell ref="C370:D370"/>
    <mergeCell ref="C374:D374"/>
    <mergeCell ref="C369:D369"/>
    <mergeCell ref="G374:H374"/>
    <mergeCell ref="C298:D298"/>
    <mergeCell ref="G298:H298"/>
    <mergeCell ref="C299:D299"/>
    <mergeCell ref="C324:D324"/>
    <mergeCell ref="C317:D317"/>
    <mergeCell ref="G317:H317"/>
    <mergeCell ref="G320:H320"/>
    <mergeCell ref="C319:D319"/>
    <mergeCell ref="C328:D328"/>
    <mergeCell ref="G342:H342"/>
    <mergeCell ref="C321:D321"/>
    <mergeCell ref="C365:D365"/>
    <mergeCell ref="G309:H309"/>
    <mergeCell ref="C310:D310"/>
    <mergeCell ref="G310:H310"/>
    <mergeCell ref="G325:H325"/>
    <mergeCell ref="G326:H326"/>
    <mergeCell ref="G327:H327"/>
    <mergeCell ref="G277:H277"/>
    <mergeCell ref="C280:D280"/>
    <mergeCell ref="G280:H280"/>
    <mergeCell ref="C292:D292"/>
    <mergeCell ref="G292:H292"/>
    <mergeCell ref="C282:D282"/>
    <mergeCell ref="G282:H282"/>
    <mergeCell ref="C284:D284"/>
    <mergeCell ref="G284:H284"/>
    <mergeCell ref="C288:D288"/>
    <mergeCell ref="G288:H288"/>
    <mergeCell ref="C289:D289"/>
    <mergeCell ref="G289:H289"/>
    <mergeCell ref="C290:D290"/>
    <mergeCell ref="G290:H290"/>
    <mergeCell ref="C291:D291"/>
    <mergeCell ref="G291:H291"/>
    <mergeCell ref="C278:D278"/>
    <mergeCell ref="G278:H278"/>
    <mergeCell ref="G269:H269"/>
    <mergeCell ref="C276:D276"/>
    <mergeCell ref="G276:H276"/>
    <mergeCell ref="C272:D272"/>
    <mergeCell ref="G272:H272"/>
    <mergeCell ref="C273:D273"/>
    <mergeCell ref="G273:H273"/>
    <mergeCell ref="C274:D274"/>
    <mergeCell ref="G274:H274"/>
    <mergeCell ref="C203:D203"/>
    <mergeCell ref="C204:D204"/>
    <mergeCell ref="C199:D199"/>
    <mergeCell ref="C200:D200"/>
    <mergeCell ref="G237:H237"/>
    <mergeCell ref="C220:D220"/>
    <mergeCell ref="C223:D223"/>
    <mergeCell ref="C224:D224"/>
    <mergeCell ref="C227:D227"/>
    <mergeCell ref="C228:D228"/>
    <mergeCell ref="C229:D229"/>
    <mergeCell ref="C222:D222"/>
    <mergeCell ref="C219:D219"/>
    <mergeCell ref="C205:D205"/>
    <mergeCell ref="C206:D206"/>
    <mergeCell ref="C201:D201"/>
    <mergeCell ref="C197:D197"/>
    <mergeCell ref="C230:D230"/>
    <mergeCell ref="C260:D260"/>
    <mergeCell ref="C237:D237"/>
    <mergeCell ref="C226:D226"/>
    <mergeCell ref="C213:D213"/>
    <mergeCell ref="C214:D214"/>
    <mergeCell ref="C215:D215"/>
    <mergeCell ref="C74:D74"/>
    <mergeCell ref="C75:D75"/>
    <mergeCell ref="C76:D76"/>
    <mergeCell ref="C82:D82"/>
    <mergeCell ref="C117:D117"/>
    <mergeCell ref="C126:D126"/>
    <mergeCell ref="C125:D125"/>
    <mergeCell ref="C113:D113"/>
    <mergeCell ref="C114:D114"/>
    <mergeCell ref="C124:D124"/>
    <mergeCell ref="C121:D121"/>
    <mergeCell ref="C93:D93"/>
    <mergeCell ref="C94:D94"/>
    <mergeCell ref="C128:D128"/>
    <mergeCell ref="C129:D129"/>
    <mergeCell ref="C131:D131"/>
    <mergeCell ref="A1:H1"/>
    <mergeCell ref="C5:D5"/>
    <mergeCell ref="G5:H5"/>
    <mergeCell ref="C7:D7"/>
    <mergeCell ref="C9:D9"/>
    <mergeCell ref="C8:D8"/>
    <mergeCell ref="C26:D26"/>
    <mergeCell ref="G26:H26"/>
    <mergeCell ref="C47:D47"/>
    <mergeCell ref="G47:H47"/>
    <mergeCell ref="C29:D29"/>
    <mergeCell ref="C30:D30"/>
    <mergeCell ref="C34:D34"/>
    <mergeCell ref="C35:D35"/>
    <mergeCell ref="C31:D31"/>
    <mergeCell ref="C32:D32"/>
    <mergeCell ref="G42:H42"/>
    <mergeCell ref="C43:D43"/>
    <mergeCell ref="G43:H43"/>
    <mergeCell ref="G46:H46"/>
    <mergeCell ref="C45:D45"/>
    <mergeCell ref="C46:D46"/>
    <mergeCell ref="C10:D10"/>
    <mergeCell ref="C12:D12"/>
    <mergeCell ref="C54:D54"/>
    <mergeCell ref="C56:D56"/>
    <mergeCell ref="G56:H56"/>
    <mergeCell ref="G55:H55"/>
    <mergeCell ref="C57:D57"/>
    <mergeCell ref="G57:H57"/>
    <mergeCell ref="C11:D11"/>
    <mergeCell ref="C18:D18"/>
    <mergeCell ref="G53:H53"/>
    <mergeCell ref="G54:H54"/>
    <mergeCell ref="C55:D55"/>
    <mergeCell ref="C53:D53"/>
    <mergeCell ref="G52:H52"/>
    <mergeCell ref="C52:D52"/>
    <mergeCell ref="C51:D51"/>
    <mergeCell ref="G51:H51"/>
    <mergeCell ref="C14:D14"/>
    <mergeCell ref="C19:D19"/>
    <mergeCell ref="C20:D20"/>
    <mergeCell ref="G45:H45"/>
    <mergeCell ref="G48:H48"/>
    <mergeCell ref="C42:D42"/>
    <mergeCell ref="C48:D48"/>
    <mergeCell ref="C13:D13"/>
    <mergeCell ref="C58:D58"/>
    <mergeCell ref="G58:H58"/>
    <mergeCell ref="G384:H384"/>
    <mergeCell ref="G117:H117"/>
    <mergeCell ref="C120:D120"/>
    <mergeCell ref="G120:H120"/>
    <mergeCell ref="G119:H119"/>
    <mergeCell ref="G94:H94"/>
    <mergeCell ref="C59:D59"/>
    <mergeCell ref="G59:H59"/>
    <mergeCell ref="C60:D60"/>
    <mergeCell ref="G60:H60"/>
    <mergeCell ref="C61:D61"/>
    <mergeCell ref="G61:H61"/>
    <mergeCell ref="C62:D62"/>
    <mergeCell ref="G62:H62"/>
    <mergeCell ref="C63:D63"/>
    <mergeCell ref="G63:H63"/>
    <mergeCell ref="C66:D66"/>
    <mergeCell ref="C239:D239"/>
    <mergeCell ref="C364:D364"/>
    <mergeCell ref="C247:D247"/>
    <mergeCell ref="G93:H93"/>
    <mergeCell ref="C92:D92"/>
    <mergeCell ref="G153:H153"/>
    <mergeCell ref="G151:H151"/>
    <mergeCell ref="G152:H152"/>
    <mergeCell ref="C154:D154"/>
    <mergeCell ref="C149:D149"/>
    <mergeCell ref="C217:D217"/>
    <mergeCell ref="C211:D211"/>
    <mergeCell ref="C212:D212"/>
    <mergeCell ref="C157:D157"/>
    <mergeCell ref="C171:D171"/>
    <mergeCell ref="C179:D179"/>
    <mergeCell ref="C180:D180"/>
    <mergeCell ref="C164:D164"/>
    <mergeCell ref="C183:D183"/>
    <mergeCell ref="C184:D184"/>
    <mergeCell ref="C185:D185"/>
    <mergeCell ref="C186:D186"/>
    <mergeCell ref="C189:D189"/>
    <mergeCell ref="C166:D166"/>
    <mergeCell ref="C167:D167"/>
    <mergeCell ref="C170:D170"/>
    <mergeCell ref="C168:D168"/>
    <mergeCell ref="C163:D163"/>
    <mergeCell ref="C195:D195"/>
    <mergeCell ref="G453:H453"/>
    <mergeCell ref="G464:H464"/>
    <mergeCell ref="C132:D132"/>
    <mergeCell ref="C136:D136"/>
    <mergeCell ref="C150:D150"/>
    <mergeCell ref="C153:D153"/>
    <mergeCell ref="C152:D152"/>
    <mergeCell ref="C158:D158"/>
    <mergeCell ref="C159:D159"/>
    <mergeCell ref="C160:D160"/>
    <mergeCell ref="C403:D403"/>
    <mergeCell ref="G155:H155"/>
    <mergeCell ref="C194:D194"/>
    <mergeCell ref="C181:D181"/>
    <mergeCell ref="G148:H148"/>
    <mergeCell ref="G154:H154"/>
    <mergeCell ref="G150:H150"/>
    <mergeCell ref="G149:H149"/>
    <mergeCell ref="C191:D191"/>
    <mergeCell ref="C169:D169"/>
    <mergeCell ref="C155:D155"/>
    <mergeCell ref="C156:D156"/>
    <mergeCell ref="C148:D148"/>
    <mergeCell ref="C151:D151"/>
    <mergeCell ref="C465:D465"/>
    <mergeCell ref="G465:H465"/>
    <mergeCell ref="C464:D464"/>
    <mergeCell ref="C458:D458"/>
    <mergeCell ref="C457:D457"/>
    <mergeCell ref="G459:H459"/>
    <mergeCell ref="C455:D455"/>
    <mergeCell ref="C461:D461"/>
    <mergeCell ref="C460:D460"/>
    <mergeCell ref="G460:H460"/>
    <mergeCell ref="G461:H461"/>
    <mergeCell ref="G456:H456"/>
    <mergeCell ref="G457:H457"/>
    <mergeCell ref="C459:D459"/>
  </mergeCells>
  <pageMargins left="0.74803149606299213" right="0.74803149606299213" top="0.98425196850393704" bottom="0.98425196850393704" header="0.51181102362204722" footer="0.51181102362204722"/>
  <pageSetup paperSize="9" firstPageNumber="11" orientation="portrait" useFirstPageNumber="1" r:id="rId1"/>
  <headerFooter>
    <oddFooter>&amp;C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Monika Werder</dc:creator>
  <cp:lastModifiedBy>Ewa Werder</cp:lastModifiedBy>
  <cp:lastPrinted>2022-07-21T07:38:42Z</cp:lastPrinted>
  <dcterms:created xsi:type="dcterms:W3CDTF">2020-07-16T12:59:17Z</dcterms:created>
  <dcterms:modified xsi:type="dcterms:W3CDTF">2022-08-23T07:49:05Z</dcterms:modified>
</cp:coreProperties>
</file>